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24226"/>
  <sheets>
    <sheet name="Certifications" sheetId="1" r:id="rId1"/>
  </sheets>
  <definedNames>
    <definedName name="_xlnm._FilterDatabase" localSheetId="0" hidden="1">'Certifications'!A8:G2108</definedName>
    <definedName name="Certifications">Certifications!$A$8:$G$2108</definedName>
  </definedName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1">
    <numFmt numFmtId="56" formatCode="&quot;上午/下午 &quot;hh&quot;時&quot;mm&quot;分&quot;ss&quot;秒 &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applyNumberFormat="1"/>
    <xf numFmtId="14"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cncp.gouv.fr/" TargetMode="External"/></Relationships>
</file>

<file path=xl/worksheets/sheet1.xml><?xml version="1.0" encoding="utf-8"?>
<worksheet xmlns="http://schemas.openxmlformats.org/spreadsheetml/2006/main" xmlns:r="http://schemas.openxmlformats.org/officeDocument/2006/relationships">
  <dimension ref="A1:G2108"/>
  <sheetViews>
    <sheetView workbookViewId="0" rightToLeft="0"/>
  </sheetViews>
  <cols>
    <col min="1" max="1" customWidth="1" width="28.6640625"/>
    <col min="2" max="2" customWidth="1" width="68.6640625"/>
    <col min="3" max="3" customWidth="1" width="68.6640625"/>
    <col min="4" max="4" customWidth="1" width="10.6640625"/>
    <col min="5" max="5" customWidth="1" width="9.6640625"/>
    <col min="6" max="6" customWidth="1" width="11.6640625"/>
    <col min="7" max="7" customWidth="1" width="11.6640625"/>
  </cols>
  <sheetData>
    <row r="1" ht="21.600000000000005" customHeight="1"/>
    <row r="2" ht="11.15" customHeight="1"/>
    <row r="3" ht="11.15" customHeight="1"/>
    <row r="4" ht="11.15" customHeight="1"/>
    <row r="5" ht="65" customHeight="1"/>
    <row r="6" ht="48.79999999999999" customHeight="1" xml:space="preserve">
      <c r="A6" t="str" xml:space="preserve">
        <v xml:space="preserve">Source : Afdas à partir des informations transmises par la Caisse des dépôts et des consignations _x000d_
Mise à jour : 04/11/2018</v>
      </c>
    </row>
    <row r="7" ht="33.05" customHeight="1">
      <c r="A7" t="str">
        <v xml:space="preserve">Plus d'information sur le site de la CNCP : </v>
      </c>
      <c r="B7" t="str">
        <v>Actualités et base inventaire</v>
      </c>
    </row>
    <row r="8" ht="65.15" customHeight="1">
      <c r="A8" t="str">
        <v>Grand domaine</v>
      </c>
      <c r="B8" t="str">
        <v>Intitulé de la certification</v>
      </c>
      <c r="C8" t="str">
        <v>Organismes certificateurs</v>
      </c>
      <c r="D8" t="str">
        <v>Lien vers Inventaire</v>
      </c>
      <c r="E8" t="str">
        <v>Lien vers Certif Info</v>
      </c>
      <c r="F8" t="str">
        <v>Date de création dans Certif Info</v>
      </c>
      <c r="G8" t="str">
        <v>Date de mise à jour dans Certif Info</v>
      </c>
    </row>
    <row r="9" ht="26.2" customHeight="1">
      <c r="A9" t="str">
        <v>Action sociale</v>
      </c>
      <c r="B9" t="str">
        <v>Accompagnement et pratiques en éducation nouvelle, éducation et citoyenneté</v>
      </c>
      <c r="C9" t="str">
        <v>Association Nationale pour le développement de l'éducation Nouvelle, Institut des ressources en intervention sociale (IRIS)</v>
      </c>
      <c r="D9" t="str">
        <f>HYPERLINK("https://inventaire.cncp.gouv.fr/fiches/3247/","3247")</f>
        <v>3247</v>
      </c>
      <c r="E9" t="str">
        <f>HYPERLINK("http://www.intercariforef.org/formations/certification-100709.html","100709")</f>
        <v>100709</v>
      </c>
      <c r="F9" s="1">
        <v>43199</v>
      </c>
      <c r="G9" s="1">
        <v>43199</v>
      </c>
    </row>
    <row r="10" ht="26.2" customHeight="1">
      <c r="A10" t="str">
        <v>Action sociale</v>
      </c>
      <c r="B10" t="str">
        <v>Accompagnement social des habitants</v>
      </c>
      <c r="C10" t="str">
        <v>Association pour la formation professionnelle continue des organismes de logement social (AFPOLS)</v>
      </c>
      <c r="D10" t="str">
        <f>HYPERLINK("https://inventaire.cncp.gouv.fr/fiches/3474/","3474")</f>
        <v>3474</v>
      </c>
      <c r="E10" t="str">
        <f>HYPERLINK("http://www.intercariforef.org/formations/certification-100557.html","100557")</f>
        <v>100557</v>
      </c>
      <c r="F10" s="1">
        <v>43188</v>
      </c>
      <c r="G10" s="1">
        <v>43188</v>
      </c>
    </row>
    <row r="11" ht="26.2" customHeight="1">
      <c r="A11" t="str">
        <v>Action sociale</v>
      </c>
      <c r="B11" t="str">
        <v>Accueil, accompagnement et éducation des jeunes enfants en situation de handicap dans le milieu ordinaire</v>
      </c>
      <c r="C11" t="str">
        <v>Institut des ressources en intervention sociale (IRIS)</v>
      </c>
      <c r="D11" t="str">
        <f>HYPERLINK("https://inventaire.cncp.gouv.fr/fiches/3691/","3691")</f>
        <v>3691</v>
      </c>
      <c r="E11" t="str">
        <f>HYPERLINK("http://www.intercariforef.org/formations/certification-101143.html","101143")</f>
        <v>101143</v>
      </c>
      <c r="F11" s="1">
        <v>43250</v>
      </c>
      <c r="G11" s="1">
        <v>43250</v>
      </c>
    </row>
    <row r="12">
      <c r="A12" t="str">
        <v>Action sociale</v>
      </c>
      <c r="B12" t="str">
        <v>Attestation de formation à l'éducation thérapeutique du patient (ETP)</v>
      </c>
      <c r="C12" t="str">
        <v>Institut du thermalisme de l'université de Bordeaux</v>
      </c>
      <c r="D12" t="str">
        <f>HYPERLINK("https://inventaire.cncp.gouv.fr/fiches/2472/","2472")</f>
        <v>2472</v>
      </c>
      <c r="E12" t="str">
        <f>HYPERLINK("http://www.intercariforef.org/formations/certification-93813.html","93813")</f>
        <v>93813</v>
      </c>
      <c r="F12" s="1">
        <v>42740</v>
      </c>
      <c r="G12" s="1">
        <v>42740</v>
      </c>
    </row>
    <row r="13" ht="26.2" customHeight="1">
      <c r="A13" t="str">
        <v>Action sociale</v>
      </c>
      <c r="B13" t="str">
        <v>Certificat d'animateur prévention du secteur de l'hébergement et de l'accueil des personnes âgées (Certificat AP-Hapa)</v>
      </c>
      <c r="C13" t="str">
        <v>Institut national de recherche et de sécurité</v>
      </c>
      <c r="D13" t="str">
        <f>HYPERLINK("https://inventaire.cncp.gouv.fr/fiches/1806/","1806")</f>
        <v>1806</v>
      </c>
      <c r="E13" t="str">
        <f>HYPERLINK("http://www.intercariforef.org/formations/certification-88477.html","88477")</f>
        <v>88477</v>
      </c>
      <c r="F13" s="1">
        <v>42464</v>
      </c>
      <c r="G13" s="1">
        <v>42464</v>
      </c>
    </row>
    <row r="14" ht="26.2" customHeight="1">
      <c r="A14" t="str">
        <v>Action sociale</v>
      </c>
      <c r="B14" t="str">
        <v>Certificat de capacité à intégrer la médiation culturelle à une pratique professionnelle d'accompagnement social</v>
      </c>
      <c r="C14" t="str">
        <v>Cultures du Coeur</v>
      </c>
      <c r="D14" t="str">
        <f>HYPERLINK("https://inventaire.cncp.gouv.fr/fiches/1816/","1816")</f>
        <v>1816</v>
      </c>
      <c r="E14" t="str">
        <f>HYPERLINK("http://www.intercariforef.org/formations/certification-88555.html","88555")</f>
        <v>88555</v>
      </c>
      <c r="F14" s="1">
        <v>42481</v>
      </c>
      <c r="G14" s="1">
        <v>42481</v>
      </c>
    </row>
    <row r="15" ht="26.2" customHeight="1">
      <c r="A15" t="str">
        <v>Action sociale</v>
      </c>
      <c r="B15" t="str">
        <v>Certificat de capacité à intégrer l'éveil culturel et artistique des enfants à sa pratique professionnelle</v>
      </c>
      <c r="C15" t="str">
        <v>Enfance et musique</v>
      </c>
      <c r="D15" t="str">
        <f>HYPERLINK("https://inventaire.cncp.gouv.fr/fiches/148/","148")</f>
        <v>148</v>
      </c>
      <c r="E15" t="str">
        <f>HYPERLINK("http://www.intercariforef.org/formations/certification-84533.html","84533")</f>
        <v>84533</v>
      </c>
      <c r="F15" s="1">
        <v>42114</v>
      </c>
      <c r="G15" s="1">
        <v>42114</v>
      </c>
    </row>
    <row r="16" ht="26.2" customHeight="1">
      <c r="A16" t="str">
        <v>Action sociale</v>
      </c>
      <c r="B16" t="str">
        <v>Certificat de capacité à la conception et à la mise en oeuvre d'un atelier d'éveil culturel et artistique pour enfants</v>
      </c>
      <c r="C16" t="str">
        <v>Enfance et musique</v>
      </c>
      <c r="D16" t="str">
        <f>HYPERLINK("https://inventaire.cncp.gouv.fr/fiches/159/","159")</f>
        <v>159</v>
      </c>
      <c r="E16" t="str">
        <f>HYPERLINK("http://www.intercariforef.org/formations/certification-84536.html","84536")</f>
        <v>84536</v>
      </c>
      <c r="F16" s="1">
        <v>42114</v>
      </c>
      <c r="G16" s="1">
        <v>42114</v>
      </c>
    </row>
    <row r="17" ht="26.2" customHeight="1">
      <c r="A17" t="str">
        <v>Action sociale</v>
      </c>
      <c r="B17" t="str">
        <v>Certification de Référent Qualité dans les Etablissements sociaux et médico sociaux.</v>
      </c>
      <c r="C17" t="str">
        <v>Association Rhône-Alpes de formation des cadres de direction d'établissements sociaux (ARAFDES)</v>
      </c>
      <c r="D17" t="str">
        <f>HYPERLINK("https://inventaire.cncp.gouv.fr/fiches/2460/","2460")</f>
        <v>2460</v>
      </c>
      <c r="E17" t="str">
        <f>HYPERLINK("http://www.intercariforef.org/formations/certification-94941.html","94941")</f>
        <v>94941</v>
      </c>
      <c r="F17" s="1">
        <v>42837</v>
      </c>
      <c r="G17" s="1">
        <v>42837</v>
      </c>
    </row>
    <row r="18" ht="26.2" customHeight="1">
      <c r="A18" t="str">
        <v>Action sociale</v>
      </c>
      <c r="B18" t="str">
        <v>Certification des Responsables de MARPA (Maison d'Accueil et de Résidences pour l'Autonomie) et de Résidences autonomies</v>
      </c>
      <c r="C18" t="str">
        <v>Caisse Centrale de la Mutualité Sociale Agricole (CCMSA)</v>
      </c>
      <c r="D18" t="str">
        <f>HYPERLINK("https://inventaire.cncp.gouv.fr/fiches/2336/","2336")</f>
        <v>2336</v>
      </c>
      <c r="E18" t="str">
        <f>HYPERLINK("http://www.intercariforef.org/formations/certification-92949.html","92949")</f>
        <v>92949</v>
      </c>
      <c r="F18" s="1">
        <v>42688</v>
      </c>
      <c r="G18" s="1">
        <v>42688</v>
      </c>
    </row>
    <row r="19">
      <c r="A19" t="str">
        <v>Action sociale</v>
      </c>
      <c r="B19" t="str">
        <v>Diriger et gérer un établissement d'accueil de jeunes enfants</v>
      </c>
      <c r="C19" t="str">
        <v>GEM Formation Conseil</v>
      </c>
      <c r="D19" t="str">
        <f>HYPERLINK("https://inventaire.cncp.gouv.fr/fiches/3036/","3036")</f>
        <v>3036</v>
      </c>
      <c r="E19" t="str">
        <f>HYPERLINK("http://www.intercariforef.org/formations/certification-100711.html","100711")</f>
        <v>100711</v>
      </c>
      <c r="F19" s="1">
        <v>43199</v>
      </c>
      <c r="G19" s="1">
        <v>43199</v>
      </c>
    </row>
    <row r="20">
      <c r="A20" t="str">
        <v>Action sociale</v>
      </c>
      <c r="B20" t="str">
        <v>DU la musique et le tout-petit, la musique et l'enfant en situation de handicap</v>
      </c>
      <c r="C20" t="str">
        <v>Université François Rabelais - Tours</v>
      </c>
      <c r="D20" t="str">
        <f>HYPERLINK("https://inventaire.cncp.gouv.fr/fiches/3021/","3021")</f>
        <v>3021</v>
      </c>
      <c r="E20" t="str">
        <f>HYPERLINK("http://www.intercariforef.org/formations/certification-96495.html","96495")</f>
        <v>96495</v>
      </c>
      <c r="F20" s="1">
        <v>42928</v>
      </c>
      <c r="G20" s="1">
        <v>42928</v>
      </c>
    </row>
    <row r="21">
      <c r="A21" t="str">
        <v>Action sociale</v>
      </c>
      <c r="B21" t="str">
        <v>Réaliser des interventions de médiation sociale</v>
      </c>
      <c r="C21" t="str">
        <v>France Médiation</v>
      </c>
      <c r="D21" t="str">
        <f>HYPERLINK("https://inventaire.cncp.gouv.fr/fiches/3377/","3377")</f>
        <v>3377</v>
      </c>
      <c r="E21" t="str">
        <f>HYPERLINK("http://www.intercariforef.org/formations/certification-100027.html","100027")</f>
        <v>100027</v>
      </c>
      <c r="F21" s="1">
        <v>43151</v>
      </c>
      <c r="G21" s="1">
        <v>43151</v>
      </c>
    </row>
    <row r="22">
      <c r="A22" t="str">
        <v>Action sociale</v>
      </c>
      <c r="B22" t="str">
        <v>Recherche-action, Etude et projet social</v>
      </c>
      <c r="C22" t="str">
        <v>Collège coopératif de Bretagne / Université Rennes 2</v>
      </c>
      <c r="D22" t="str">
        <f>HYPERLINK("https://inventaire.cncp.gouv.fr/fiches/3182/","3182")</f>
        <v>3182</v>
      </c>
      <c r="E22" t="str">
        <f>HYPERLINK("http://www.intercariforef.org/formations/certification-99167.html","99167")</f>
        <v>99167</v>
      </c>
      <c r="F22" s="1">
        <v>43076</v>
      </c>
      <c r="G22" s="1">
        <v>43076</v>
      </c>
    </row>
    <row r="23">
      <c r="A23" t="str">
        <v>Action sociale</v>
      </c>
      <c r="B23" t="str">
        <v>Unité capitalisable complémentaire de direction d'un Accueil Collectif de Mineurs</v>
      </c>
      <c r="C23" t="str">
        <v>Ministère des sports</v>
      </c>
      <c r="D23" t="str">
        <f>HYPERLINK("https://inventaire.cncp.gouv.fr/fiches/2032/","2032")</f>
        <v>2032</v>
      </c>
      <c r="E23" t="str">
        <f>HYPERLINK("http://www.intercariforef.org/formations/certification-92125.html","92125")</f>
        <v>92125</v>
      </c>
      <c r="F23" s="1">
        <v>42667</v>
      </c>
      <c r="G23" s="1">
        <v>43125</v>
      </c>
    </row>
    <row r="24">
      <c r="A24" t="str">
        <v>Activité physique et sportive</v>
      </c>
      <c r="B24" t="str">
        <v>Brevet d'État d'alpinisme - diplôme d'accompagnateur en moyenne montagne</v>
      </c>
      <c r="C24" t="str">
        <v>Ministère des sports</v>
      </c>
      <c r="D24" t="str">
        <f>HYPERLINK("https://inventaire.cncp.gouv.fr/fiches/1139/","1139")</f>
        <v>1139</v>
      </c>
      <c r="E24" t="str">
        <f>HYPERLINK("http://www.intercariforef.org/formations/certification-71522.html","71522")</f>
        <v>71522</v>
      </c>
      <c r="F24" s="1">
        <v>40498</v>
      </c>
      <c r="G24" s="1">
        <v>43143</v>
      </c>
    </row>
    <row r="25">
      <c r="A25" t="str">
        <v>Activité physique et sportive</v>
      </c>
      <c r="B25" t="str">
        <v>Brevet et licence de parachutiste professionnel</v>
      </c>
      <c r="C25" t="str">
        <v>Direction générale de l'aviation civile</v>
      </c>
      <c r="D25" t="str">
        <f>HYPERLINK("https://inventaire.cncp.gouv.fr/fiches/2469/","2469")</f>
        <v>2469</v>
      </c>
      <c r="E25" t="str">
        <f>HYPERLINK("http://www.intercariforef.org/formations/certification-93811.html","93811")</f>
        <v>93811</v>
      </c>
      <c r="F25" s="1">
        <v>42740</v>
      </c>
      <c r="G25" s="1">
        <v>42979</v>
      </c>
    </row>
    <row r="26">
      <c r="A26" t="str">
        <v>Activité physique et sportive</v>
      </c>
      <c r="B26" t="str">
        <v>Brevet fédéral d'encadrement équi-handi</v>
      </c>
      <c r="C26" t="str">
        <v>Fédération française d'équitation</v>
      </c>
      <c r="D26" t="str">
        <f>HYPERLINK("https://inventaire.cncp.gouv.fr/fiches/1372/","1372")</f>
        <v>1372</v>
      </c>
      <c r="E26" t="str">
        <f>HYPERLINK("http://www.intercariforef.org/formations/certification-89097.html","89097")</f>
        <v>89097</v>
      </c>
      <c r="F26" s="1">
        <v>42517</v>
      </c>
      <c r="G26" s="1">
        <v>42517</v>
      </c>
    </row>
    <row r="27">
      <c r="A27" t="str">
        <v>Activité physique et sportive</v>
      </c>
      <c r="B27" t="str">
        <v>Brevet Fédéral d'Encadrement Equi-Social</v>
      </c>
      <c r="C27" t="str">
        <v>Fédération française d'équitation</v>
      </c>
      <c r="D27" t="str">
        <f>HYPERLINK("https://inventaire.cncp.gouv.fr/fiches/2273/","2273")</f>
        <v>2273</v>
      </c>
      <c r="E27" t="str">
        <f>HYPERLINK("http://www.intercariforef.org/formations/certification-94973.html","94973")</f>
        <v>94973</v>
      </c>
      <c r="F27" s="1">
        <v>42838</v>
      </c>
      <c r="G27" s="1">
        <v>42838</v>
      </c>
    </row>
    <row r="28">
      <c r="A28" t="str">
        <v>Activité physique et sportive</v>
      </c>
      <c r="B28" t="str">
        <v>Brevet Fédéral d'Encadrement Equitation Travail à Pied Niveau 1</v>
      </c>
      <c r="C28" t="str">
        <v>Fédération française d'équitation</v>
      </c>
      <c r="D28" t="str">
        <f>HYPERLINK("https://inventaire.cncp.gouv.fr/fiches/2876/","2876")</f>
        <v>2876</v>
      </c>
      <c r="E28" t="str">
        <f>HYPERLINK("http://www.intercariforef.org/formations/certification-99233.html","99233")</f>
        <v>99233</v>
      </c>
      <c r="F28" s="1">
        <v>43080</v>
      </c>
      <c r="G28" s="1">
        <v>43080</v>
      </c>
    </row>
    <row r="29">
      <c r="A29" t="str">
        <v>Activité physique et sportive</v>
      </c>
      <c r="B29" t="str">
        <v>Brevet Fédéral d'Encadrement Equitation Travail à Pied Niveau 2</v>
      </c>
      <c r="C29" t="str">
        <v>Fédération française d'équitation</v>
      </c>
      <c r="D29" t="str">
        <f>HYPERLINK("https://inventaire.cncp.gouv.fr/fiches/2880/","2880")</f>
        <v>2880</v>
      </c>
      <c r="E29" t="str">
        <f>HYPERLINK("http://www.intercariforef.org/formations/certification-99235.html","99235")</f>
        <v>99235</v>
      </c>
      <c r="F29" s="1">
        <v>43080</v>
      </c>
      <c r="G29" s="1">
        <v>43080</v>
      </c>
    </row>
    <row r="30">
      <c r="A30" t="str">
        <v>Activité physique et sportive</v>
      </c>
      <c r="B30" t="str">
        <v>Brevet Fédéral d'Encadrement Initiation Poney et Cheval</v>
      </c>
      <c r="C30" t="str">
        <v>Fédération française d'équitation</v>
      </c>
      <c r="D30" t="str">
        <f>HYPERLINK("https://inventaire.cncp.gouv.fr/fiches/3387/","3387")</f>
        <v>3387</v>
      </c>
      <c r="E30" t="str">
        <f>HYPERLINK("http://www.intercariforef.org/formations/certification-104017.html","104017")</f>
        <v>104017</v>
      </c>
      <c r="F30" s="1">
        <v>43392</v>
      </c>
      <c r="G30" s="1">
        <v>43392</v>
      </c>
    </row>
    <row r="31">
      <c r="A31" t="str">
        <v>Activité physique et sportive</v>
      </c>
      <c r="B31" t="str">
        <v>Brevet Fédéral d'Encadrement Spectacle Equestre de Club niveau 1</v>
      </c>
      <c r="C31" t="str">
        <v>Fédération française d'équitation</v>
      </c>
      <c r="D31" t="str">
        <f>HYPERLINK("https://inventaire.cncp.gouv.fr/fiches/2308/","2308")</f>
        <v>2308</v>
      </c>
      <c r="E31" t="str">
        <f>HYPERLINK("http://www.intercariforef.org/formations/certification-94971.html","94971")</f>
        <v>94971</v>
      </c>
      <c r="F31" s="1">
        <v>42838</v>
      </c>
      <c r="G31" s="1">
        <v>42838</v>
      </c>
    </row>
    <row r="32">
      <c r="A32" t="str">
        <v>Activité physique et sportive</v>
      </c>
      <c r="B32" t="str">
        <v>Brevet Fédéral d'Encadrement Spectacle Equestre de Club niveau 2</v>
      </c>
      <c r="C32" t="str">
        <v>Fédération française d'équitation</v>
      </c>
      <c r="D32" t="str">
        <f>HYPERLINK("https://inventaire.cncp.gouv.fr/fiches/2310/","2310")</f>
        <v>2310</v>
      </c>
      <c r="E32" t="str">
        <f>HYPERLINK("http://www.intercariforef.org/formations/certification-94969.html","94969")</f>
        <v>94969</v>
      </c>
      <c r="F32" s="1">
        <v>42838</v>
      </c>
      <c r="G32" s="1">
        <v>42838</v>
      </c>
    </row>
    <row r="33">
      <c r="A33" t="str">
        <v>Activité physique et sportive</v>
      </c>
      <c r="B33" t="str">
        <v>Brevet fédéral d'entraîneur sport équestre - Niveau 1</v>
      </c>
      <c r="C33" t="str">
        <v>Fédération française d'équitation</v>
      </c>
      <c r="D33" t="str">
        <f>HYPERLINK("https://inventaire.cncp.gouv.fr/fiches/1928/","1928")</f>
        <v>1928</v>
      </c>
      <c r="E33" t="str">
        <f>HYPERLINK("http://www.intercariforef.org/formations/certification-89093.html","89093")</f>
        <v>89093</v>
      </c>
      <c r="F33" s="1">
        <v>42517</v>
      </c>
      <c r="G33" s="1">
        <v>42517</v>
      </c>
    </row>
    <row r="34">
      <c r="A34" t="str">
        <v>Activité physique et sportive</v>
      </c>
      <c r="B34" t="str">
        <v>Brevet fédéral d'entraîneur sport équestre - Niveau 2</v>
      </c>
      <c r="C34" t="str">
        <v>Fédération française d'équitation</v>
      </c>
      <c r="D34" t="str">
        <f>HYPERLINK("https://inventaire.cncp.gouv.fr/fiches/1929/","1929")</f>
        <v>1929</v>
      </c>
      <c r="E34" t="str">
        <f>HYPERLINK("http://www.intercariforef.org/formations/certification-89095.html","89095")</f>
        <v>89095</v>
      </c>
      <c r="F34" s="1">
        <v>42517</v>
      </c>
      <c r="G34" s="1">
        <v>42517</v>
      </c>
    </row>
    <row r="35">
      <c r="A35" t="str">
        <v>Activité physique et sportive</v>
      </c>
      <c r="B35" t="str">
        <v>Certificat complémentaire plongée profonde et tutorat</v>
      </c>
      <c r="C35" t="str">
        <v>Ministère des sports</v>
      </c>
      <c r="D35" t="str">
        <f>HYPERLINK("https://inventaire.cncp.gouv.fr/fiches/4095/","4095")</f>
        <v>4095</v>
      </c>
      <c r="E35" t="str">
        <f>HYPERLINK("http://www.intercariforef.org/formations/certification-104173.html","104173")</f>
        <v>104173</v>
      </c>
      <c r="F35" s="1">
        <v>43403</v>
      </c>
      <c r="G35" s="1">
        <v>43403</v>
      </c>
    </row>
    <row r="36">
      <c r="A36" t="str">
        <v>Activité physique et sportive</v>
      </c>
      <c r="B36" t="str">
        <v>Certificat d'aptitude à l'exercice de la profession de maître nageur sauveteur (CAEPMNS)</v>
      </c>
      <c r="C36" t="str">
        <v>Ministère des sports</v>
      </c>
      <c r="D36" t="str">
        <f>HYPERLINK("https://inventaire.cncp.gouv.fr/fiches/1812/","1812")</f>
        <v>1812</v>
      </c>
      <c r="E36" t="str">
        <f>HYPERLINK("http://www.intercariforef.org/formations/certification-23786.html","23786")</f>
        <v>23786</v>
      </c>
      <c r="F36" s="1">
        <v>38140</v>
      </c>
      <c r="G36" s="1">
        <v>43125</v>
      </c>
    </row>
    <row r="37">
      <c r="A37" t="str">
        <v>Activité physique et sportive</v>
      </c>
      <c r="B37" t="str">
        <v>Certificat de capacité de préparateur physique</v>
      </c>
      <c r="C37" t="str">
        <v>Institut national du sport, de l'expertise et de la performance</v>
      </c>
      <c r="D37" t="str">
        <f>HYPERLINK("https://inventaire.cncp.gouv.fr/fiches/1749/","1749")</f>
        <v>1749</v>
      </c>
      <c r="E37" t="str">
        <f>HYPERLINK("http://www.intercariforef.org/formations/certification-87631.html","87631")</f>
        <v>87631</v>
      </c>
      <c r="F37" s="1">
        <v>42415</v>
      </c>
      <c r="G37" s="1">
        <v>42415</v>
      </c>
    </row>
    <row r="38">
      <c r="A38" t="str">
        <v>Activité physique et sportive</v>
      </c>
      <c r="B38" t="str">
        <v>Certificat de capacité de préparateur physique en rugby</v>
      </c>
      <c r="C38" t="str">
        <v>Fédération française de rugby (FFR)</v>
      </c>
      <c r="D38" t="str">
        <f>HYPERLINK("https://inventaire.cncp.gouv.fr/fiches/4079/","4079")</f>
        <v>4079</v>
      </c>
      <c r="E38" t="str">
        <f>HYPERLINK("http://www.intercariforef.org/formations/certification-104091.html","104091")</f>
        <v>104091</v>
      </c>
      <c r="F38" s="1">
        <v>43397</v>
      </c>
      <c r="G38" s="1">
        <v>43397</v>
      </c>
    </row>
    <row r="39" ht="26.2" customHeight="1">
      <c r="A39" t="str">
        <v>Activité physique et sportive</v>
      </c>
      <c r="B39" t="str">
        <v>Certificat de spécialisation croisière</v>
      </c>
      <c r="C39" t="str">
        <v>Ministère des sports, École de v­oile des Gl­énans, École nati­onale de vo­ile et des ­sports naut­iques</v>
      </c>
      <c r="D39" t="str">
        <f>HYPERLINK("https://inventaire.cncp.gouv.fr/fiches/2115/","2115")</f>
        <v>2115</v>
      </c>
      <c r="E39" t="str">
        <f>HYPERLINK("http://www.intercariforef.org/formations/certification-104171.html","104171")</f>
        <v>104171</v>
      </c>
      <c r="F39" s="1">
        <v>43403</v>
      </c>
      <c r="G39" s="1">
        <v>43403</v>
      </c>
    </row>
    <row r="40" ht="26.2" customHeight="1">
      <c r="A40" t="str">
        <v>Activité physique et sportive</v>
      </c>
      <c r="B40" t="str">
        <v>Diplôme d'État d'alpinisme - accompagnateur en moyenne montagne option moyenne montagne enneigée</v>
      </c>
      <c r="C40" t="str">
        <v>Ministère des sports, École Nationale des Sports de Montagne</v>
      </c>
      <c r="D40" t="str">
        <f>HYPERLINK("https://inventaire.cncp.gouv.fr/fiches/1139/","1139")</f>
        <v>1139</v>
      </c>
      <c r="E40" t="str">
        <f>HYPERLINK("http://www.intercariforef.org/formations/certification-81502.html","81502")</f>
        <v>81502</v>
      </c>
      <c r="F40" s="1">
        <v>41513</v>
      </c>
      <c r="G40" s="1">
        <v>43201</v>
      </c>
    </row>
    <row r="41" ht="26.2" customHeight="1">
      <c r="A41" t="str">
        <v>Activité physique et sportive</v>
      </c>
      <c r="B41" t="str">
        <v>Diplôme d'État d'alpinisme - accompagnateur en moyenne montagne option moyenne montagne tropicale et équatoriale</v>
      </c>
      <c r="C41" t="str">
        <v>Ministère des sports, École Nationale des Sports de Montagne</v>
      </c>
      <c r="D41" t="str">
        <f>HYPERLINK("https://inventaire.cncp.gouv.fr/fiches/1139/","1139")</f>
        <v>1139</v>
      </c>
      <c r="E41" t="str">
        <f>HYPERLINK("http://www.intercariforef.org/formations/certification-83532.html","83532")</f>
        <v>83532</v>
      </c>
      <c r="F41" s="1">
        <v>41928</v>
      </c>
      <c r="G41" s="1">
        <v>43201</v>
      </c>
    </row>
    <row r="42">
      <c r="A42" t="str">
        <v>Activité physique et sportive</v>
      </c>
      <c r="B42" t="str">
        <v>Diplôme d'Etat d'alpinisme - guide de haute montagne</v>
      </c>
      <c r="C42" t="str">
        <v>Ministère des sports</v>
      </c>
      <c r="D42" t="str">
        <f>HYPERLINK("https://inventaire.cncp.gouv.fr/fiches/1125/","1125")</f>
        <v>1125</v>
      </c>
      <c r="E42" t="str">
        <f>HYPERLINK("http://www.intercariforef.org/formations/certification-81500.html","81500")</f>
        <v>81500</v>
      </c>
      <c r="F42" s="1">
        <v>41513</v>
      </c>
      <c r="G42" s="1">
        <v>43125</v>
      </c>
    </row>
    <row r="43">
      <c r="A43" t="str">
        <v>Activité physique et sportive</v>
      </c>
      <c r="B43" t="str">
        <v>Diplôme universitaire européen de préparation physique (DUEPP)</v>
      </c>
      <c r="C43" t="str">
        <v>Université Claude Bernard - Lyon 1</v>
      </c>
      <c r="D43" t="str">
        <f>HYPERLINK("https://inventaire.cncp.gouv.fr/fiches/2921/","2921")</f>
        <v>2921</v>
      </c>
      <c r="E43" t="str">
        <f>HYPERLINK("http://www.intercariforef.org/formations/certification-97067.html","97067")</f>
        <v>97067</v>
      </c>
      <c r="F43" s="1">
        <v>42977</v>
      </c>
      <c r="G43" s="1">
        <v>42977</v>
      </c>
    </row>
    <row r="44">
      <c r="A44" t="str">
        <v>Activité physique et sportive</v>
      </c>
      <c r="B44" t="str">
        <v>Management d'une carrière de sportif professionnel (DU)</v>
      </c>
      <c r="C44" t="str">
        <v>Université de Strasbourg</v>
      </c>
      <c r="D44" t="str">
        <f>HYPERLINK("https://inventaire.cncp.gouv.fr/fiches/3088/","3088")</f>
        <v>3088</v>
      </c>
      <c r="E44" t="str">
        <f>HYPERLINK("http://www.intercariforef.org/formations/certification-100139.html","100139")</f>
        <v>100139</v>
      </c>
      <c r="F44" s="1">
        <v>43153</v>
      </c>
      <c r="G44" s="1">
        <v>43153</v>
      </c>
    </row>
    <row r="45">
      <c r="A45" t="str">
        <v>Activité physique et sportive</v>
      </c>
      <c r="B45" t="str">
        <v>Personal Trainer (DU PT)</v>
      </c>
      <c r="C45" t="str">
        <v>Université de Strasbourg</v>
      </c>
      <c r="D45" t="str">
        <f>HYPERLINK("https://inventaire.cncp.gouv.fr/fiches/3085/","3085")</f>
        <v>3085</v>
      </c>
      <c r="E45" t="str">
        <f>HYPERLINK("http://www.intercariforef.org/formations/certification-100141.html","100141")</f>
        <v>100141</v>
      </c>
      <c r="F45" s="1">
        <v>43153</v>
      </c>
      <c r="G45" s="1">
        <v>43153</v>
      </c>
    </row>
    <row r="46" ht="26.2" customHeight="1">
      <c r="A46" t="str">
        <v>Agriculture, agro-alimentaire</v>
      </c>
      <c r="B46" t="str">
        <v>Attestation de formation sécurité pour les personnels embarqués sur des navires armés à la petite pêche ou à la pêche côtière de longueur inférieure à 12 mètres</v>
      </c>
      <c r="C46" t="str">
        <v>Ministère de la transition écologique et solidaire</v>
      </c>
      <c r="D46" t="str">
        <f>HYPERLINK("https://inventaire.cncp.gouv.fr/fiches/1942/","1942")</f>
        <v>1942</v>
      </c>
      <c r="E46" t="str">
        <f>HYPERLINK("http://www.intercariforef.org/formations/certification-88763.html","88763")</f>
        <v>88763</v>
      </c>
      <c r="F46" s="1">
        <v>42499</v>
      </c>
      <c r="G46" s="1">
        <v>43111</v>
      </c>
    </row>
    <row r="47">
      <c r="A47" t="str">
        <v>Agriculture, agro-alimentaire</v>
      </c>
      <c r="B47" t="str">
        <v>Audit externe de laboratoire de biologie médicale</v>
      </c>
      <c r="C47" t="str">
        <v>Bio Qualité Formation</v>
      </c>
      <c r="D47" t="str">
        <f>HYPERLINK("https://inventaire.cncp.gouv.fr/fiches/3243/","3243")</f>
        <v>3243</v>
      </c>
      <c r="E47" t="str">
        <f>HYPERLINK("http://www.intercariforef.org/formations/certification-100829.html","100829")</f>
        <v>100829</v>
      </c>
      <c r="F47" s="1">
        <v>43209</v>
      </c>
      <c r="G47" s="1">
        <v>43209</v>
      </c>
    </row>
    <row r="48">
      <c r="A48" t="str">
        <v>Agriculture, agro-alimentaire</v>
      </c>
      <c r="B48" t="str">
        <v>Audit interne de laboratoire de biologie médicale</v>
      </c>
      <c r="C48" t="str">
        <v>Bio Qualité Formation</v>
      </c>
      <c r="D48" t="str">
        <f>HYPERLINK("https://inventaire.cncp.gouv.fr/fiches/3245/","3245")</f>
        <v>3245</v>
      </c>
      <c r="E48" t="str">
        <f>HYPERLINK("http://www.intercariforef.org/formations/certification-100825.html","100825")</f>
        <v>100825</v>
      </c>
      <c r="F48" s="1">
        <v>43209</v>
      </c>
      <c r="G48" s="1">
        <v>43209</v>
      </c>
    </row>
    <row r="49">
      <c r="A49" t="str">
        <v>Agriculture, agro-alimentaire</v>
      </c>
      <c r="B49" t="str">
        <v>Auditeur ICA sécurité des denrées alimentaires</v>
      </c>
      <c r="C49" t="str">
        <v>AFNOR</v>
      </c>
      <c r="D49" t="str">
        <f>HYPERLINK("https://inventaire.cncp.gouv.fr/fiches/942/","942")</f>
        <v>942</v>
      </c>
      <c r="E49" t="str">
        <f>HYPERLINK("http://www.intercariforef.org/formations/certification-85040.html","85040")</f>
        <v>85040</v>
      </c>
      <c r="F49" s="1">
        <v>42185</v>
      </c>
      <c r="G49" s="1">
        <v>42185</v>
      </c>
    </row>
    <row r="50">
      <c r="A50" t="str">
        <v>Agriculture, agro-alimentaire</v>
      </c>
      <c r="B50" t="str">
        <v>Brevet Fédéral d'Encadrement d'Equitation Ethologique niveau 1</v>
      </c>
      <c r="C50" t="str">
        <v>Fédération française d'équitation</v>
      </c>
      <c r="D50" t="str">
        <f>HYPERLINK("https://inventaire.cncp.gouv.fr/fiches/2454/","2454")</f>
        <v>2454</v>
      </c>
      <c r="E50" t="str">
        <f>HYPERLINK("http://www.intercariforef.org/formations/certification-94939.html","94939")</f>
        <v>94939</v>
      </c>
      <c r="F50" s="1">
        <v>42837</v>
      </c>
      <c r="G50" s="1">
        <v>42837</v>
      </c>
    </row>
    <row r="51">
      <c r="A51" t="str">
        <v>Agriculture, agro-alimentaire</v>
      </c>
      <c r="B51" t="str">
        <v>Brevet Fédéral d'Encadrement d'Equitation Ethologique niveau 2</v>
      </c>
      <c r="C51" t="str">
        <v>Fédération française d'équitation</v>
      </c>
      <c r="D51" t="str">
        <f>HYPERLINK("https://inventaire.cncp.gouv.fr/fiches/2465/","2465")</f>
        <v>2465</v>
      </c>
      <c r="E51" t="str">
        <f>HYPERLINK("http://www.intercariforef.org/formations/certification-94937.html","94937")</f>
        <v>94937</v>
      </c>
      <c r="F51" s="1">
        <v>42837</v>
      </c>
      <c r="G51" s="1">
        <v>42837</v>
      </c>
    </row>
    <row r="52">
      <c r="A52" t="str">
        <v>Agriculture, agro-alimentaire</v>
      </c>
      <c r="B52" t="str">
        <v>Certificat Bases pour l'analyste de semences</v>
      </c>
      <c r="C52" t="str">
        <v>Ministère de l'agriculture et de l'alimentation</v>
      </c>
      <c r="D52" t="str">
        <f>HYPERLINK("https://inventaire.cncp.gouv.fr/fiches/641/","641")</f>
        <v>641</v>
      </c>
      <c r="E52" t="str">
        <f>HYPERLINK("http://www.intercariforef.org/formations/certification-84716.html","84716")</f>
        <v>84716</v>
      </c>
      <c r="F52" s="1">
        <v>42156</v>
      </c>
      <c r="G52" s="1">
        <v>43111</v>
      </c>
    </row>
    <row r="53">
      <c r="A53" t="str">
        <v>Agriculture, agro-alimentaire</v>
      </c>
      <c r="B53" t="str">
        <v>Certificat d'agroéquipement viticole</v>
      </c>
      <c r="C53" t="str">
        <v>Corporation des Vignerons de Champagne</v>
      </c>
      <c r="D53" t="str">
        <f>HYPERLINK("https://inventaire.cncp.gouv.fr/fiches/2121/","2121")</f>
        <v>2121</v>
      </c>
      <c r="E53" t="str">
        <f>HYPERLINK("http://www.intercariforef.org/formations/certification-91911.html","91911")</f>
        <v>91911</v>
      </c>
      <c r="F53" s="1">
        <v>42662</v>
      </c>
      <c r="G53" s="1">
        <v>42662</v>
      </c>
    </row>
    <row r="54">
      <c r="A54" t="str">
        <v>Agriculture, agro-alimentaire</v>
      </c>
      <c r="B54" t="str">
        <v>Certificat d'analyse sensorielle des vins de Bourgogne</v>
      </c>
      <c r="C54" t="str">
        <v>Ecole des vins de Bourgogne</v>
      </c>
      <c r="D54" t="str">
        <f>HYPERLINK("https://inventaire.cncp.gouv.fr/fiches/2401/","2401")</f>
        <v>2401</v>
      </c>
      <c r="E54" t="str">
        <f>HYPERLINK("http://www.intercariforef.org/formations/certification-92071.html","92071")</f>
        <v>92071</v>
      </c>
      <c r="F54" s="1">
        <v>42667</v>
      </c>
      <c r="G54" s="1">
        <v>42667</v>
      </c>
    </row>
    <row r="55">
      <c r="A55" t="str">
        <v>Agriculture, agro-alimentaire</v>
      </c>
      <c r="B55" t="str">
        <v>Certificat d'analyste sénior de semences</v>
      </c>
      <c r="C55" t="str">
        <v>Ministère de l'agriculture et de l'alimentation</v>
      </c>
      <c r="D55" t="str">
        <f>HYPERLINK("https://inventaire.cncp.gouv.fr/fiches/645/","645")</f>
        <v>645</v>
      </c>
      <c r="E55" t="str">
        <f>HYPERLINK("http://www.intercariforef.org/formations/certification-84715.html","84715")</f>
        <v>84715</v>
      </c>
      <c r="F55" s="1">
        <v>42156</v>
      </c>
      <c r="G55" s="1">
        <v>43111</v>
      </c>
    </row>
    <row r="56">
      <c r="A56" t="str">
        <v>Agriculture, agro-alimentaire</v>
      </c>
      <c r="B56" t="str">
        <v>Certificat d'aptitude à la taille de la vigne</v>
      </c>
      <c r="C56" t="str">
        <v>Corporation des Vignerons de Champagne</v>
      </c>
      <c r="D56" t="str">
        <f>HYPERLINK("https://inventaire.cncp.gouv.fr/fiches/2122/","2122")</f>
        <v>2122</v>
      </c>
      <c r="E56" t="str">
        <f>HYPERLINK("http://www.intercariforef.org/formations/certification-91909.html","91909")</f>
        <v>91909</v>
      </c>
      <c r="F56" s="1">
        <v>42662</v>
      </c>
      <c r="G56" s="1">
        <v>42662</v>
      </c>
    </row>
    <row r="57">
      <c r="A57" t="str">
        <v>Agriculture, agro-alimentaire</v>
      </c>
      <c r="B57" t="str">
        <v>Certificat d'aptitude au greffage de la vigne</v>
      </c>
      <c r="C57" t="str">
        <v>Corporation des Vignerons de Champagne</v>
      </c>
      <c r="D57" t="str">
        <f>HYPERLINK("https://inventaire.cncp.gouv.fr/fiches/2124/","2124")</f>
        <v>2124</v>
      </c>
      <c r="E57" t="str">
        <f>HYPERLINK("http://www.intercariforef.org/formations/certification-91907.html","91907")</f>
        <v>91907</v>
      </c>
      <c r="F57" s="1">
        <v>42662</v>
      </c>
      <c r="G57" s="1">
        <v>42662</v>
      </c>
    </row>
    <row r="58" ht="26.2" customHeight="1">
      <c r="A58" t="str">
        <v>Agriculture, agro-alimentaire</v>
      </c>
      <c r="B58" t="str">
        <v>Certificat d'aptitude aux fonctions de chef de centre d'insémination artificielle dans les espèces équine et asine</v>
      </c>
      <c r="C58" t="str">
        <v>Ministère de l'agriculture et de l'alimentation</v>
      </c>
      <c r="D58" t="str">
        <f>HYPERLINK("https://inventaire.cncp.gouv.fr/fiches/2030/","2030")</f>
        <v>2030</v>
      </c>
      <c r="E58" t="str">
        <f>HYPERLINK("http://www.intercariforef.org/formations/certification-82574.html","82574")</f>
        <v>82574</v>
      </c>
      <c r="F58" s="1">
        <v>41670</v>
      </c>
      <c r="G58" s="1">
        <v>43111</v>
      </c>
    </row>
    <row r="59" ht="26.2" customHeight="1">
      <c r="A59" t="str">
        <v>Agriculture, agro-alimentaire</v>
      </c>
      <c r="B59" t="str">
        <v>Certificat d'aptitude aux fonctions de technicien d'insémination dans les espèces bovine, caprine et ovine</v>
      </c>
      <c r="C59" t="str">
        <v>Ministère de l'agriculture et de l'alimentation</v>
      </c>
      <c r="D59" t="str">
        <f>HYPERLINK("https://inventaire.cncp.gouv.fr/fiches/897/","897")</f>
        <v>897</v>
      </c>
      <c r="E59" t="str">
        <f>HYPERLINK("http://www.intercariforef.org/formations/certification-80692.html","80692")</f>
        <v>80692</v>
      </c>
      <c r="F59" s="1">
        <v>41296</v>
      </c>
      <c r="G59" s="1">
        <v>43111</v>
      </c>
    </row>
    <row r="60">
      <c r="A60" t="str">
        <v>Agriculture, agro-alimentaire</v>
      </c>
      <c r="B60" t="str">
        <v>Certificat d'aptitude aux fonctions d'inséminateur dans les espèces équine et asine</v>
      </c>
      <c r="C60" t="str">
        <v>Ministère de l'agriculture et de l'alimentation</v>
      </c>
      <c r="D60" t="str">
        <f>HYPERLINK("https://inventaire.cncp.gouv.fr/fiches/1943/","1943")</f>
        <v>1943</v>
      </c>
      <c r="E60" t="str">
        <f>HYPERLINK("http://www.intercariforef.org/formations/certification-82573.html","82573")</f>
        <v>82573</v>
      </c>
      <c r="F60" s="1">
        <v>41670</v>
      </c>
      <c r="G60" s="1">
        <v>43111</v>
      </c>
    </row>
    <row r="61">
      <c r="A61" t="str">
        <v>Agriculture, agro-alimentaire</v>
      </c>
      <c r="B61" t="str">
        <v>Certificat de capacité à animer en agroécologie</v>
      </c>
      <c r="C61" t="str">
        <v>Terre et humanisme</v>
      </c>
      <c r="D61" t="str">
        <f>HYPERLINK("https://inventaire.cncp.gouv.fr/fiches/2399/","2399")</f>
        <v>2399</v>
      </c>
      <c r="E61" t="str">
        <f>HYPERLINK("http://www.intercariforef.org/formations/certification-94963.html","94963")</f>
        <v>94963</v>
      </c>
      <c r="F61" s="1">
        <v>42838</v>
      </c>
      <c r="G61" s="1">
        <v>42838</v>
      </c>
    </row>
    <row r="62" ht="26.2" customHeight="1">
      <c r="A62" t="str">
        <v>Agriculture, agro-alimentaire</v>
      </c>
      <c r="B62" t="str">
        <v>Certificat de compétence en biotechnologies et production de protéines thérapeutiques</v>
      </c>
      <c r="C62" t="str">
        <v>Ecole nationale supérieure de technologie des biomolécules de Bordeaux (ENSTBB)  / Institut polytechnique de Bordeaux</v>
      </c>
      <c r="D62" t="str">
        <f>HYPERLINK("https://inventaire.cncp.gouv.fr/fiches/672/","672")</f>
        <v>672</v>
      </c>
      <c r="E62" t="str">
        <f>HYPERLINK("http://www.intercariforef.org/formations/certification-84857.html","84857")</f>
        <v>84857</v>
      </c>
      <c r="F62" s="1">
        <v>42177</v>
      </c>
      <c r="G62" s="1">
        <v>42979</v>
      </c>
    </row>
    <row r="63" ht="26.2" customHeight="1">
      <c r="A63" t="str">
        <v>Agriculture, agro-alimentaire</v>
      </c>
      <c r="B63" t="str">
        <v>Certificat de compétence en microbiologie industrielle et fermentation</v>
      </c>
      <c r="C63" t="str">
        <v>Ecole nationale supérieure de technologie des biomolécules de Bordeaux (ENSTBB)  / Institut polytechnique de Bordeaux</v>
      </c>
      <c r="D63" t="str">
        <f>HYPERLINK("https://inventaire.cncp.gouv.fr/fiches/637/","637")</f>
        <v>637</v>
      </c>
      <c r="E63" t="str">
        <f>HYPERLINK("http://www.intercariforef.org/formations/certification-84869.html","84869")</f>
        <v>84869</v>
      </c>
      <c r="F63" s="1">
        <v>42177</v>
      </c>
      <c r="G63" s="1">
        <v>42979</v>
      </c>
    </row>
    <row r="64" ht="91.65000000000002" customHeight="1">
      <c r="A64" t="str">
        <v>Agriculture, agro-alimentaire</v>
      </c>
      <c r="B64" t="str">
        <v>Certificat de compétence pour la protection des animaux dans le cadre de leur mise à mort</v>
      </c>
      <c r="C64" t="str">
        <v>Ministère de l'agriculture et de l'alimentation, ADIV Développement, ADOFIA, ALIQUA, Astec IAA, Avipôle formation, Centre de formation professionnelle et de promotion agricole du Gers, DEFI Formation - Groupe Fitec, Duc, Ecole des métiers BIGARD - EMB, IFIP Institut de porc, Institut de formation des métiers du secteur associatif juif (SIF), Institut de l'élevage, Institut supérieur des productions animales et des industries agroalimentaires, Josselin Porc Abattage, Liber Garcia Labady  Marleni, Marc LE MÉZO, RCServices - Groupe Cristal, RG Consulting France, SDBF, Sécuriteam, SOCSA Agroalimentaire, SVA Jean ROZÉ, Zoopôle Développement</v>
      </c>
      <c r="D64" t="str">
        <f>HYPERLINK("https://inventaire.cncp.gouv.fr/fiches/446/","446")</f>
        <v>446</v>
      </c>
      <c r="E64" t="str">
        <f>HYPERLINK("http://www.intercariforef.org/formations/certification-79033.html","79033")</f>
        <v>79033</v>
      </c>
      <c r="F64" s="1">
        <v>41149</v>
      </c>
      <c r="G64" s="1">
        <v>43390</v>
      </c>
    </row>
    <row r="65">
      <c r="A65" t="str">
        <v>Agriculture, agro-alimentaire</v>
      </c>
      <c r="B65" t="str">
        <v>Certificat de marin-ouvrier aux cultures marines - niveau 1</v>
      </c>
      <c r="C65" t="str">
        <v>Ministère de la transition écologique et solidaire</v>
      </c>
      <c r="D65" t="str">
        <f>HYPERLINK("https://inventaire.cncp.gouv.fr/fiches/876/","876")</f>
        <v>876</v>
      </c>
      <c r="E65" t="str">
        <f>HYPERLINK("http://www.intercariforef.org/formations/certification-69529.html","69529")</f>
        <v>69529</v>
      </c>
      <c r="F65" s="1">
        <v>40360</v>
      </c>
      <c r="G65" s="1">
        <v>43111</v>
      </c>
    </row>
    <row r="66">
      <c r="A66" t="str">
        <v>Agriculture, agro-alimentaire</v>
      </c>
      <c r="B66" t="str">
        <v>Certificat de marin-ouvrier aux cultures marines - niveau 2</v>
      </c>
      <c r="C66" t="str">
        <v>Ministère de la transition écologique et solidaire</v>
      </c>
      <c r="D66" t="str">
        <f>HYPERLINK("https://inventaire.cncp.gouv.fr/fiches/878/","878")</f>
        <v>878</v>
      </c>
      <c r="E66" t="str">
        <f>HYPERLINK("http://www.intercariforef.org/formations/certification-69531.html","69531")</f>
        <v>69531</v>
      </c>
      <c r="F66" s="1">
        <v>40360</v>
      </c>
      <c r="G66" s="1">
        <v>43111</v>
      </c>
    </row>
    <row r="67">
      <c r="A67" t="str">
        <v>Agriculture, agro-alimentaire</v>
      </c>
      <c r="B67" t="str">
        <v>Certificat de patron de navire aux cultures marines - niveau 1</v>
      </c>
      <c r="C67" t="str">
        <v>Ministère de la transition écologique et solidaire</v>
      </c>
      <c r="D67" t="str">
        <f>HYPERLINK("https://inventaire.cncp.gouv.fr/fiches/879/","879")</f>
        <v>879</v>
      </c>
      <c r="E67" t="str">
        <f>HYPERLINK("http://www.intercariforef.org/formations/certification-85018.html","85018")</f>
        <v>85018</v>
      </c>
      <c r="F67" s="1">
        <v>42184</v>
      </c>
      <c r="G67" s="1">
        <v>43111</v>
      </c>
    </row>
    <row r="68">
      <c r="A68" t="str">
        <v>Agriculture, agro-alimentaire</v>
      </c>
      <c r="B68" t="str">
        <v>Certificat de patron de navire aux cultures marines - niveau 2</v>
      </c>
      <c r="C68" t="str">
        <v>Ministère de la transition écologique et solidaire</v>
      </c>
      <c r="D68" t="str">
        <f>HYPERLINK("https://inventaire.cncp.gouv.fr/fiches/881/","881")</f>
        <v>881</v>
      </c>
      <c r="E68" t="str">
        <f>HYPERLINK("http://www.intercariforef.org/formations/certification-85017.html","85017")</f>
        <v>85017</v>
      </c>
      <c r="F68" s="1">
        <v>42184</v>
      </c>
      <c r="G68" s="1">
        <v>43111</v>
      </c>
    </row>
    <row r="69" ht="26.2" customHeight="1">
      <c r="A69" t="str">
        <v>Agriculture, agro-alimentaire</v>
      </c>
      <c r="B69" t="str">
        <v>Certificat individuel pour l'activité "utilisation à titre professionnel des produits phytopharmaceutiques" catégories "applicateur" et "applicateur opérationnel"</v>
      </c>
      <c r="C69" t="str">
        <v>Ministère de l'agriculture, de l'agroalimentaire et de la forêt</v>
      </c>
      <c r="D69" t="str">
        <f>HYPERLINK("https://inventaire.cncp.gouv.fr/fiches/74/","74")</f>
        <v>74</v>
      </c>
      <c r="E69" t="str">
        <f>HYPERLINK("http://www.intercariforef.org/formations/certification-84393.html","84393")</f>
        <v>84393</v>
      </c>
      <c r="F69" s="1">
        <v>42109</v>
      </c>
      <c r="G69" s="1">
        <v>42668</v>
      </c>
    </row>
    <row r="70" ht="39.3" customHeight="1">
      <c r="A70" t="str">
        <v>Agriculture, agro-alimentaire</v>
      </c>
      <c r="B70" t="str">
        <v>Certificat individuel pour l'activité "utilisation à titre professionnel des produits phytopharmaceutiques" catégories "décideur en exploitation agricole" et "opérateur en exploitation agricole"</v>
      </c>
      <c r="C70" t="str">
        <v>Ministère de l'agriculture, de l'agroalimentaire et de la forêt</v>
      </c>
      <c r="D70" t="str">
        <f>HYPERLINK("https://inventaire.cncp.gouv.fr/fiches/72/","72")</f>
        <v>72</v>
      </c>
      <c r="E70" t="str">
        <f>HYPERLINK("http://www.intercariforef.org/formations/certification-84388.html","84388")</f>
        <v>84388</v>
      </c>
      <c r="F70" s="1">
        <v>42109</v>
      </c>
      <c r="G70" s="1">
        <v>42668</v>
      </c>
    </row>
    <row r="71" ht="39.3" customHeight="1">
      <c r="A71" t="str">
        <v>Agriculture, agro-alimentaire</v>
      </c>
      <c r="B71" t="str">
        <v>Certificat individuel pour l'activité "utilisation à titre professionnel des produits phytopharmaceutiques" catégories "décideur en travaux et services" et "opérateur en travaux et services"</v>
      </c>
      <c r="C71" t="str">
        <v>Ministère de l'agriculture, de l'agroalimentaire et de la forêt</v>
      </c>
      <c r="D71" t="str">
        <f>HYPERLINK("https://inventaire.cncp.gouv.fr/fiches/71/","71")</f>
        <v>71</v>
      </c>
      <c r="E71" t="str">
        <f>HYPERLINK("http://www.intercariforef.org/formations/certification-84386.html","84386")</f>
        <v>84386</v>
      </c>
      <c r="F71" s="1">
        <v>42109</v>
      </c>
      <c r="G71" s="1">
        <v>42668</v>
      </c>
    </row>
    <row r="72" ht="26.2" customHeight="1">
      <c r="A72" t="str">
        <v>Agriculture, agro-alimentaire</v>
      </c>
      <c r="B72" t="str">
        <v>Certificat individuel pour l'activité professionnelle "mise en vente, vente des produits phytopharmaceutiques"</v>
      </c>
      <c r="C72" t="str">
        <v>Ministère de l'agriculture, de l'agroalimentaire et de la forêt</v>
      </c>
      <c r="D72" t="str">
        <f>HYPERLINK("https://inventaire.cncp.gouv.fr/fiches/73/","73")</f>
        <v>73</v>
      </c>
      <c r="E72" t="str">
        <f>HYPERLINK("http://www.intercariforef.org/formations/certification-84390.html","84390")</f>
        <v>84390</v>
      </c>
      <c r="F72" s="1">
        <v>42109</v>
      </c>
      <c r="G72" s="1">
        <v>42718</v>
      </c>
    </row>
    <row r="73" ht="26.2" customHeight="1">
      <c r="A73" t="str">
        <v>Agriculture, agro-alimentaire</v>
      </c>
      <c r="B73" t="str">
        <v>Certificat individuel pour l'activité professionnelle conseil à l'utilisation des produits phytopharmaceutiques</v>
      </c>
      <c r="C73" t="str">
        <v>Ministère de l'agriculture, de l'agroalimentaire et de la forêt</v>
      </c>
      <c r="D73" t="str">
        <f>HYPERLINK("https://inventaire.cncp.gouv.fr/fiches/75/","75")</f>
        <v>75</v>
      </c>
      <c r="E73" t="str">
        <f>HYPERLINK("http://www.intercariforef.org/formations/certification-76654.html","76654")</f>
        <v>76654</v>
      </c>
      <c r="F73" s="1">
        <v>40841</v>
      </c>
      <c r="G73" s="1">
        <v>42668</v>
      </c>
    </row>
    <row r="74" ht="26.2" customHeight="1">
      <c r="A74" t="str">
        <v>Agriculture, agro-alimentaire</v>
      </c>
      <c r="B74" t="str">
        <v>Certificat individuel pour l'activité professionnelle conseil à l'utilisation des produits phytopharmaceutiques</v>
      </c>
      <c r="C74" t="str">
        <v>Ministère de l'agriculture et de l'alimentation</v>
      </c>
      <c r="D74" t="str">
        <f>HYPERLINK("https://inventaire.cncp.gouv.fr/fiches/75/","75")</f>
        <v>75</v>
      </c>
      <c r="E74" t="str">
        <f>HYPERLINK("http://www.intercariforef.org/formations/certification-92173.html","92173")</f>
        <v>92173</v>
      </c>
      <c r="F74" s="1">
        <v>42668</v>
      </c>
      <c r="G74" s="1">
        <v>43111</v>
      </c>
    </row>
    <row r="75" ht="26.2" customHeight="1">
      <c r="A75" t="str">
        <v>Agriculture, agro-alimentaire</v>
      </c>
      <c r="B75" t="str">
        <v>Certificat individuel pour l'activité professionnelle mise en vente, vente des produits phytopharmaceutiques</v>
      </c>
      <c r="C75" t="str">
        <v>Ministère de l'agriculture et de l'alimentation</v>
      </c>
      <c r="D75" t="str">
        <f>HYPERLINK("https://inventaire.cncp.gouv.fr/fiches/73/","73")</f>
        <v>73</v>
      </c>
      <c r="E75" t="str">
        <f>HYPERLINK("http://www.intercariforef.org/formations/certification-92201.html","92201")</f>
        <v>92201</v>
      </c>
      <c r="F75" s="1">
        <v>42668</v>
      </c>
      <c r="G75" s="1">
        <v>43111</v>
      </c>
    </row>
    <row r="76" ht="26.2" customHeight="1">
      <c r="A76" t="str">
        <v>Agriculture, agro-alimentaire</v>
      </c>
      <c r="B76" t="str">
        <v>Certificat individuel pour l'activité professionnelle mise en vente, vente des produits phytopharmaceutiques catégorie distribution produits professionnels</v>
      </c>
      <c r="C76" t="str">
        <v>Ministère de l'agriculture, de l'agroalimentaire et de la forêt</v>
      </c>
      <c r="D76" t="str">
        <f>HYPERLINK("https://inventaire.cncp.gouv.fr/fiches/73/","73")</f>
        <v>73</v>
      </c>
      <c r="E76" t="str">
        <f>HYPERLINK("http://www.intercariforef.org/formations/certification-76655.html","76655")</f>
        <v>76655</v>
      </c>
      <c r="F76" s="1">
        <v>40841</v>
      </c>
      <c r="G76" s="1">
        <v>42718</v>
      </c>
    </row>
    <row r="77" ht="26.2" customHeight="1">
      <c r="A77" t="str">
        <v>Agriculture, agro-alimentaire</v>
      </c>
      <c r="B77" t="str">
        <v>Certificat individuel pour l'activité professionnelle mise en vente, vente des produits phytopharmaceutiques catégorie produits grand public</v>
      </c>
      <c r="C77" t="str">
        <v>Ministère de l'agriculture, de l'agroalimentaire et de la forêt</v>
      </c>
      <c r="D77" t="str">
        <f>HYPERLINK("https://inventaire.cncp.gouv.fr/fiches/73/","73")</f>
        <v>73</v>
      </c>
      <c r="E77" t="str">
        <f>HYPERLINK("http://www.intercariforef.org/formations/certification-77090.html","77090")</f>
        <v>77090</v>
      </c>
      <c r="F77" s="1">
        <v>40932</v>
      </c>
      <c r="G77" s="1">
        <v>42718</v>
      </c>
    </row>
    <row r="78" ht="26.2" customHeight="1">
      <c r="A78" t="str">
        <v>Agriculture, agro-alimentaire</v>
      </c>
      <c r="B78" t="str">
        <v>Certificat individuel pour l'activité utilisation à titre professionnel des produits phytopharmaceutiques catégorie applicateur en collectivités territoriales</v>
      </c>
      <c r="C78" t="str">
        <v>Ministère de l'agriculture, de l'agroalimentaire et de la forêt</v>
      </c>
      <c r="D78" t="str">
        <f>HYPERLINK("https://inventaire.cncp.gouv.fr/fiches/74/","74")</f>
        <v>74</v>
      </c>
      <c r="E78" t="str">
        <f>HYPERLINK("http://www.intercariforef.org/formations/certification-77347.html","77347")</f>
        <v>77347</v>
      </c>
      <c r="F78" s="1">
        <v>40983</v>
      </c>
      <c r="G78" s="1">
        <v>42668</v>
      </c>
    </row>
    <row r="79" ht="26.2" customHeight="1">
      <c r="A79" t="str">
        <v>Agriculture, agro-alimentaire</v>
      </c>
      <c r="B79" t="str">
        <v>Certificat individuel pour l'activité utilisation à titre professionnel des produits phytopharmaceutiques catégorie applicateur opérationnel en collectivités territoriales</v>
      </c>
      <c r="C79" t="str">
        <v>Ministère de l'agriculture, de l'agroalimentaire et de la forêt</v>
      </c>
      <c r="D79" t="str">
        <f>HYPERLINK("https://inventaire.cncp.gouv.fr/fiches/74/","74")</f>
        <v>74</v>
      </c>
      <c r="E79" t="str">
        <f>HYPERLINK("http://www.intercariforef.org/formations/certification-77348.html","77348")</f>
        <v>77348</v>
      </c>
      <c r="F79" s="1">
        <v>40983</v>
      </c>
      <c r="G79" s="1">
        <v>42668</v>
      </c>
    </row>
    <row r="80" ht="26.2" customHeight="1">
      <c r="A80" t="str">
        <v>Agriculture, agro-alimentaire</v>
      </c>
      <c r="B80" t="str">
        <v>Certificat individuel pour l'activité utilisation à titre professionnel des produits phytopharmaceutiques catégorie décideur en entreprise non soumise à agrément</v>
      </c>
      <c r="C80" t="str">
        <v>Ministère de l'agriculture et de l'alimentation</v>
      </c>
      <c r="D80" t="str">
        <f>HYPERLINK("https://inventaire.cncp.gouv.fr/fiches/2623/","2623")</f>
        <v>2623</v>
      </c>
      <c r="E80" t="str">
        <f>HYPERLINK("http://www.intercariforef.org/formations/certification-92189.html","92189")</f>
        <v>92189</v>
      </c>
      <c r="F80" s="1">
        <v>42668</v>
      </c>
      <c r="G80" s="1">
        <v>43111</v>
      </c>
    </row>
    <row r="81" ht="26.2" customHeight="1">
      <c r="A81" t="str">
        <v>Agriculture, agro-alimentaire</v>
      </c>
      <c r="B81" t="str">
        <v>Certificat individuel pour l'activité utilisation à titre professionnel des produits phytopharmaceutiques catégorie décideur en entreprise soumise à agrément</v>
      </c>
      <c r="C81" t="str">
        <v>Ministère de l'agriculture et de l'alimentation</v>
      </c>
      <c r="D81" t="str">
        <f>HYPERLINK("https://inventaire.cncp.gouv.fr/fiches/2623/","2623")</f>
        <v>2623</v>
      </c>
      <c r="E81" t="str">
        <f>HYPERLINK("http://www.intercariforef.org/formations/certification-92181.html","92181")</f>
        <v>92181</v>
      </c>
      <c r="F81" s="1">
        <v>42668</v>
      </c>
      <c r="G81" s="1">
        <v>43111</v>
      </c>
    </row>
    <row r="82" ht="26.2" customHeight="1">
      <c r="A82" t="str">
        <v>Agriculture, agro-alimentaire</v>
      </c>
      <c r="B82" t="str">
        <v>Certificat individuel pour l'activité utilisation à titre professionnel des produits phytopharmaceutiques catégorie décideur en exploitation agricole</v>
      </c>
      <c r="C82" t="str">
        <v>Ministère de l'agriculture, de l'agroalimentaire et de la forêt</v>
      </c>
      <c r="D82" t="str">
        <f>HYPERLINK("https://inventaire.cncp.gouv.fr/fiches/72/","72")</f>
        <v>72</v>
      </c>
      <c r="E82" t="str">
        <f>HYPERLINK("http://www.intercariforef.org/formations/certification-76652.html","76652")</f>
        <v>76652</v>
      </c>
      <c r="F82" s="1">
        <v>40841</v>
      </c>
      <c r="G82" s="1">
        <v>42668</v>
      </c>
    </row>
    <row r="83" ht="26.2" customHeight="1">
      <c r="A83" t="str">
        <v>Agriculture, agro-alimentaire</v>
      </c>
      <c r="B83" t="str">
        <v>Certificat individuel pour l'activité utilisation à titre professionnel des produits phytopharmaceutiques catégorie décideur en travaux et services</v>
      </c>
      <c r="C83" t="str">
        <v>Ministère de l'agriculture, de l'agroalimentaire et de la forêt</v>
      </c>
      <c r="D83" t="str">
        <f>HYPERLINK("https://inventaire.cncp.gouv.fr/fiches/71/","71")</f>
        <v>71</v>
      </c>
      <c r="E83" t="str">
        <f>HYPERLINK("http://www.intercariforef.org/formations/certification-76648.html","76648")</f>
        <v>76648</v>
      </c>
      <c r="F83" s="1">
        <v>40841</v>
      </c>
      <c r="G83" s="1">
        <v>42668</v>
      </c>
    </row>
    <row r="84" ht="26.2" customHeight="1">
      <c r="A84" t="str">
        <v>Agriculture, agro-alimentaire</v>
      </c>
      <c r="B84" t="str">
        <v>Certificat individuel pour l'activité utilisation à titre professionnel des produits phytopharmaceutiques catégorie opérateur</v>
      </c>
      <c r="C84" t="str">
        <v>Ministère de l'agriculture et de l'alimentation</v>
      </c>
      <c r="D84" t="str">
        <f>HYPERLINK("https://inventaire.cncp.gouv.fr/fiches/2624/","2624")</f>
        <v>2624</v>
      </c>
      <c r="E84" t="str">
        <f>HYPERLINK("http://www.intercariforef.org/formations/certification-92197.html","92197")</f>
        <v>92197</v>
      </c>
      <c r="F84" s="1">
        <v>42668</v>
      </c>
      <c r="G84" s="1">
        <v>43111</v>
      </c>
    </row>
    <row r="85" ht="26.2" customHeight="1">
      <c r="A85" t="str">
        <v>Agriculture, agro-alimentaire</v>
      </c>
      <c r="B85" t="str">
        <v>Certificat individuel pour l'activité utilisation à titre professionnel des produits phytopharmaceutiques catégorie opérateur en exploitation agricole</v>
      </c>
      <c r="C85" t="str">
        <v>Ministère de l'agriculture, de l'agroalimentaire et de la forêt</v>
      </c>
      <c r="D85" t="str">
        <f>HYPERLINK("https://inventaire.cncp.gouv.fr/fiches/72/","72")</f>
        <v>72</v>
      </c>
      <c r="E85" t="str">
        <f>HYPERLINK("http://www.intercariforef.org/formations/certification-76653.html","76653")</f>
        <v>76653</v>
      </c>
      <c r="F85" s="1">
        <v>40841</v>
      </c>
      <c r="G85" s="1">
        <v>42668</v>
      </c>
    </row>
    <row r="86" ht="26.2" customHeight="1">
      <c r="A86" t="str">
        <v>Agriculture, agro-alimentaire</v>
      </c>
      <c r="B86" t="str">
        <v>Certificat individuel pour l'activité utilisation à titre professionnel des produits phytopharmaceutiques catégorie opérateur en travaux et services</v>
      </c>
      <c r="C86" t="str">
        <v>Ministère de l'agriculture, de l'agroalimentaire et de la forêt</v>
      </c>
      <c r="D86" t="str">
        <f>HYPERLINK("https://inventaire.cncp.gouv.fr/fiches/71/","71")</f>
        <v>71</v>
      </c>
      <c r="E86" t="str">
        <f>HYPERLINK("http://www.intercariforef.org/formations/certification-76651.html","76651")</f>
        <v>76651</v>
      </c>
      <c r="F86" s="1">
        <v>40841</v>
      </c>
      <c r="G86" s="1">
        <v>42668</v>
      </c>
    </row>
    <row r="87">
      <c r="A87" t="str">
        <v>Agriculture, agro-alimentaire</v>
      </c>
      <c r="B87" t="str">
        <v>Certificat professionnel individuel d'éleveur de poulets de chair</v>
      </c>
      <c r="C87" t="str">
        <v>Ministère de l'agriculture et de l'alimentation</v>
      </c>
      <c r="D87" t="str">
        <f>HYPERLINK("https://inventaire.cncp.gouv.fr/fiches/895/","895")</f>
        <v>895</v>
      </c>
      <c r="E87" t="str">
        <f>HYPERLINK("http://www.intercariforef.org/formations/certification-85023.html","85023")</f>
        <v>85023</v>
      </c>
      <c r="F87" s="1">
        <v>42184</v>
      </c>
      <c r="G87" s="1">
        <v>43111</v>
      </c>
    </row>
    <row r="88">
      <c r="A88" t="str">
        <v>Agriculture, agro-alimentaire</v>
      </c>
      <c r="B88" t="str">
        <v>Certification en vins et spiritueux français niveau 1</v>
      </c>
      <c r="C88" t="str">
        <v>Ecole du Vin de France</v>
      </c>
      <c r="D88" t="str">
        <f>HYPERLINK("https://inventaire.cncp.gouv.fr/fiches/1962/","1962")</f>
        <v>1962</v>
      </c>
      <c r="E88" t="str">
        <f>HYPERLINK("http://www.intercariforef.org/formations/certification-90721.html","90721")</f>
        <v>90721</v>
      </c>
      <c r="F88" s="1">
        <v>42620</v>
      </c>
      <c r="G88" s="1">
        <v>43384</v>
      </c>
    </row>
    <row r="89">
      <c r="A89" t="str">
        <v>Agriculture, agro-alimentaire</v>
      </c>
      <c r="B89" t="str">
        <v>Certification en vins et spiritueux français niveau 2</v>
      </c>
      <c r="C89" t="str">
        <v>Ecole du Vin de France</v>
      </c>
      <c r="D89" t="str">
        <f>HYPERLINK("https://inventaire.cncp.gouv.fr/fiches/1962/","1962")</f>
        <v>1962</v>
      </c>
      <c r="E89" t="str">
        <f>HYPERLINK("http://www.intercariforef.org/formations/certification-90723.html","90723")</f>
        <v>90723</v>
      </c>
      <c r="F89" s="1">
        <v>42620</v>
      </c>
      <c r="G89" s="1">
        <v>43384</v>
      </c>
    </row>
    <row r="90">
      <c r="A90" t="str">
        <v>Agriculture, agro-alimentaire</v>
      </c>
      <c r="B90" t="str">
        <v>Certification en vins et spiritueux français niveau 3</v>
      </c>
      <c r="C90" t="str">
        <v>Ecole du Vin de France</v>
      </c>
      <c r="D90" t="str">
        <f>HYPERLINK("https://inventaire.cncp.gouv.fr/fiches/1962/","1962")</f>
        <v>1962</v>
      </c>
      <c r="E90" t="str">
        <f>HYPERLINK("http://www.intercariforef.org/formations/certification-90725.html","90725")</f>
        <v>90725</v>
      </c>
      <c r="F90" s="1">
        <v>42620</v>
      </c>
      <c r="G90" s="1">
        <v>43384</v>
      </c>
    </row>
    <row r="91">
      <c r="A91" t="str">
        <v>Agriculture, agro-alimentaire</v>
      </c>
      <c r="B91" t="str">
        <v>Certification French Wine Scholar</v>
      </c>
      <c r="C91" t="str">
        <v>Wine Scholar Guild</v>
      </c>
      <c r="D91" t="str">
        <f>HYPERLINK("https://inventaire.cncp.gouv.fr/fiches/3145/","3145")</f>
        <v>3145</v>
      </c>
      <c r="E91" t="str">
        <f>HYPERLINK("http://www.intercariforef.org/formations/certification-99217.html","99217")</f>
        <v>99217</v>
      </c>
      <c r="F91" s="1">
        <v>43077</v>
      </c>
      <c r="G91" s="1">
        <v>43077</v>
      </c>
    </row>
    <row r="92">
      <c r="A92" t="str">
        <v>Agriculture, agro-alimentaire</v>
      </c>
      <c r="B92" t="str">
        <v>Compétences relationnelles pour les services à la personne dans le secteur du paysage</v>
      </c>
      <c r="C92" t="str">
        <v>Qualipaysage</v>
      </c>
      <c r="D92" t="str">
        <f>HYPERLINK("https://inventaire.cncp.gouv.fr/fiches/2444/","2444")</f>
        <v>2444</v>
      </c>
      <c r="E92" t="str">
        <f>HYPERLINK("http://www.intercariforef.org/formations/certification-94145.html","94145")</f>
        <v>94145</v>
      </c>
      <c r="F92" s="1">
        <v>42772</v>
      </c>
      <c r="G92" s="1">
        <v>42772</v>
      </c>
    </row>
    <row r="93">
      <c r="A93" t="str">
        <v>Agriculture, agro-alimentaire</v>
      </c>
      <c r="B93" t="str">
        <v>Cycle métier biscuiterie</v>
      </c>
      <c r="C93" t="str">
        <v>Alliance 7 Services</v>
      </c>
      <c r="D93" t="str">
        <f>HYPERLINK("https://inventaire.cncp.gouv.fr/fiches/3155/","3155")</f>
        <v>3155</v>
      </c>
      <c r="E93" t="str">
        <f>HYPERLINK("http://www.intercariforef.org/formations/certification-99213.html","99213")</f>
        <v>99213</v>
      </c>
      <c r="F93" s="1">
        <v>43076</v>
      </c>
      <c r="G93" s="1">
        <v>43076</v>
      </c>
    </row>
    <row r="94">
      <c r="A94" t="str">
        <v>Agriculture, agro-alimentaire</v>
      </c>
      <c r="B94" t="str">
        <v>Cycle métier chocolaterie</v>
      </c>
      <c r="C94" t="str">
        <v>Alliance 7 Services</v>
      </c>
      <c r="D94" t="str">
        <f>HYPERLINK("https://inventaire.cncp.gouv.fr/fiches/3156/","3156")</f>
        <v>3156</v>
      </c>
      <c r="E94" t="str">
        <f>HYPERLINK("http://www.intercariforef.org/formations/certification-99211.html","99211")</f>
        <v>99211</v>
      </c>
      <c r="F94" s="1">
        <v>43076</v>
      </c>
      <c r="G94" s="1">
        <v>43076</v>
      </c>
    </row>
    <row r="95">
      <c r="A95" t="str">
        <v>Agriculture, agro-alimentaire</v>
      </c>
      <c r="B95" t="str">
        <v>Cycle métier confiserie</v>
      </c>
      <c r="C95" t="str">
        <v>Alliance 7 Services</v>
      </c>
      <c r="D95" t="str">
        <f>HYPERLINK("https://inventaire.cncp.gouv.fr/fiches/3157/","3157")</f>
        <v>3157</v>
      </c>
      <c r="E95" t="str">
        <f>HYPERLINK("http://www.intercariforef.org/formations/certification-99209.html","99209")</f>
        <v>99209</v>
      </c>
      <c r="F95" s="1">
        <v>43076</v>
      </c>
      <c r="G95" s="1">
        <v>43076</v>
      </c>
    </row>
    <row r="96">
      <c r="A96" t="str">
        <v>Agriculture, agro-alimentaire</v>
      </c>
      <c r="B96" t="str">
        <v>DU éthique, bien-être et droit du cheval</v>
      </c>
      <c r="C96" t="str">
        <v>Haras de la Cence, Université Paris Descartes - Paris 5</v>
      </c>
      <c r="D96" t="str">
        <f>HYPERLINK("https://inventaire.cncp.gouv.fr/fiches/1634/","1634")</f>
        <v>1634</v>
      </c>
      <c r="E96" t="str">
        <f>HYPERLINK("http://www.intercariforef.org/formations/certification-88771.html","88771")</f>
        <v>88771</v>
      </c>
      <c r="F96" s="1">
        <v>42499</v>
      </c>
      <c r="G96" s="1">
        <v>43046</v>
      </c>
    </row>
    <row r="97" ht="26.2" customHeight="1">
      <c r="A97" t="str">
        <v>Agriculture, agro-alimentaire</v>
      </c>
      <c r="B97" t="str">
        <v>DU gestion et management d'une entreprise vitivinicole</v>
      </c>
      <c r="C97" t="str">
        <v>Ministère de l'enseignement supérieur, de la recherche et de l'innovation, Université François Rabelais - Tours</v>
      </c>
      <c r="D97" t="str">
        <f>HYPERLINK("https://inventaire.cncp.gouv.fr/fiches/2353/","2353")</f>
        <v>2353</v>
      </c>
      <c r="E97" t="str">
        <f>HYPERLINK("http://www.intercariforef.org/formations/certification-91891.html","91891")</f>
        <v>91891</v>
      </c>
      <c r="F97" s="1">
        <v>42662</v>
      </c>
      <c r="G97" s="1">
        <v>43125</v>
      </c>
    </row>
    <row r="98">
      <c r="A98" t="str">
        <v>Agriculture, agro-alimentaire</v>
      </c>
      <c r="B98" t="str">
        <v>Formation en gestion d'entreprise forestière</v>
      </c>
      <c r="C98" t="str">
        <v>Ministère de l'agriculture et de l'alimentation</v>
      </c>
      <c r="D98" t="str">
        <f>HYPERLINK("https://inventaire.cncp.gouv.fr/fiches/1790/","1790")</f>
        <v>1790</v>
      </c>
      <c r="E98" t="str">
        <f>HYPERLINK("http://www.intercariforef.org/formations/certification-87689.html","87689")</f>
        <v>87689</v>
      </c>
      <c r="F98" s="1">
        <v>42418</v>
      </c>
      <c r="G98" s="1">
        <v>43111</v>
      </c>
    </row>
    <row r="99">
      <c r="A99" t="str">
        <v>Agriculture, agro-alimentaire</v>
      </c>
      <c r="B99" t="str">
        <v>Formation oenologie VOG académique</v>
      </c>
      <c r="C99" t="str">
        <v>Prodégustation, Club français du vin, Ecole des Vins AdVini</v>
      </c>
      <c r="D99" t="str">
        <f>HYPERLINK("https://inventaire.cncp.gouv.fr/fiches/2188/","2188")</f>
        <v>2188</v>
      </c>
      <c r="E99" t="str">
        <f>HYPERLINK("http://www.intercariforef.org/formations/certification-93827.html","93827")</f>
        <v>93827</v>
      </c>
      <c r="F99" s="1">
        <v>42740</v>
      </c>
      <c r="G99" s="1">
        <v>42740</v>
      </c>
    </row>
    <row r="100">
      <c r="A100" t="str">
        <v>Agriculture, agro-alimentaire</v>
      </c>
      <c r="B100" t="str">
        <v>Pilotage de processus en laboratoire de biologie médicale</v>
      </c>
      <c r="C100" t="str">
        <v>Bio Qualité Formation</v>
      </c>
      <c r="D100" t="str">
        <f>HYPERLINK("https://inventaire.cncp.gouv.fr/fiches/3244/","3244")</f>
        <v>3244</v>
      </c>
      <c r="E100" t="str">
        <f>HYPERLINK("http://www.intercariforef.org/formations/certification-100827.html","100827")</f>
        <v>100827</v>
      </c>
      <c r="F100" s="1">
        <v>43209</v>
      </c>
      <c r="G100" s="1">
        <v>43209</v>
      </c>
    </row>
    <row r="101">
      <c r="A101" t="str">
        <v>Agriculture, agro-alimentaire</v>
      </c>
      <c r="B101" t="str">
        <v>WSET niveau 1</v>
      </c>
      <c r="C101" t="str">
        <v>Wine &amp; Spirit Education Trust</v>
      </c>
      <c r="D101" t="str">
        <f>HYPERLINK("https://inventaire.cncp.gouv.fr/fiches/2189/","2189")</f>
        <v>2189</v>
      </c>
      <c r="E101" t="str">
        <f>HYPERLINK("http://www.intercariforef.org/formations/certification-93967.html","93967")</f>
        <v>93967</v>
      </c>
      <c r="F101" s="1">
        <v>42745</v>
      </c>
      <c r="G101" s="1">
        <v>42979</v>
      </c>
    </row>
    <row r="102">
      <c r="A102" t="str">
        <v>Agriculture, agro-alimentaire</v>
      </c>
      <c r="B102" t="str">
        <v>WSET niveau 2</v>
      </c>
      <c r="C102" t="str">
        <v>Wine &amp; Spirit Education Trust</v>
      </c>
      <c r="D102" t="str">
        <f>HYPERLINK("https://inventaire.cncp.gouv.fr/fiches/2190/","2190")</f>
        <v>2190</v>
      </c>
      <c r="E102" t="str">
        <f>HYPERLINK("http://www.intercariforef.org/formations/certification-93965.html","93965")</f>
        <v>93965</v>
      </c>
      <c r="F102" s="1">
        <v>42745</v>
      </c>
      <c r="G102" s="1">
        <v>42979</v>
      </c>
    </row>
    <row r="103">
      <c r="A103" t="str">
        <v>Agriculture, agro-alimentaire</v>
      </c>
      <c r="B103" t="str">
        <v>WSET niveau 3</v>
      </c>
      <c r="C103" t="str">
        <v>Wine &amp; Spirit Education Trust</v>
      </c>
      <c r="D103" t="str">
        <f>HYPERLINK("https://inventaire.cncp.gouv.fr/fiches/2193/","2193")</f>
        <v>2193</v>
      </c>
      <c r="E103" t="str">
        <f>HYPERLINK("http://www.intercariforef.org/formations/certification-93961.html","93961")</f>
        <v>93961</v>
      </c>
      <c r="F103" s="1">
        <v>42745</v>
      </c>
      <c r="G103" s="1">
        <v>42979</v>
      </c>
    </row>
    <row r="104">
      <c r="A104" t="str">
        <v>Art</v>
      </c>
      <c r="B104" t="str">
        <v>Accompagner les artistes du chant dans leur travail de création et d'interprétation</v>
      </c>
      <c r="C104" t="str">
        <v>Harmoniques</v>
      </c>
      <c r="D104" t="str">
        <f>HYPERLINK("https://inventaire.cncp.gouv.fr/fiches/3902/","3902")</f>
        <v>3902</v>
      </c>
      <c r="E104" t="str">
        <f>HYPERLINK("http://www.intercariforef.org/formations/certification-104123.html","104123")</f>
        <v>104123</v>
      </c>
      <c r="F104" s="1">
        <v>43398</v>
      </c>
      <c r="G104" s="1">
        <v>43398</v>
      </c>
    </row>
    <row r="105">
      <c r="A105" t="str">
        <v>Art</v>
      </c>
      <c r="B105" t="str">
        <v>Certificat de capacité à la lecture à haute voix</v>
      </c>
      <c r="C105" t="str">
        <v>Compagnie des nuits d'Auteurs</v>
      </c>
      <c r="D105" t="str">
        <f>HYPERLINK("https://inventaire.cncp.gouv.fr/fiches/2918/","2918")</f>
        <v>2918</v>
      </c>
      <c r="E105" t="str">
        <f>HYPERLINK("http://www.intercariforef.org/formations/certification-96545.html","96545")</f>
        <v>96545</v>
      </c>
      <c r="F105" s="1">
        <v>42928</v>
      </c>
      <c r="G105" s="1">
        <v>42928</v>
      </c>
    </row>
    <row r="106">
      <c r="A106" t="str">
        <v>Art</v>
      </c>
      <c r="B106" t="str">
        <v>Certificat de compétences aux techniques des enduits</v>
      </c>
      <c r="C106" t="str">
        <v>Les temps d'art</v>
      </c>
      <c r="D106" t="str">
        <f>HYPERLINK("https://inventaire.cncp.gouv.fr/fiches/2832/","2832")</f>
        <v>2832</v>
      </c>
      <c r="E106" t="str">
        <f>HYPERLINK("http://www.intercariforef.org/formations/certification-98393.html","98393")</f>
        <v>98393</v>
      </c>
      <c r="F106" s="1">
        <v>43027</v>
      </c>
      <c r="G106" s="1">
        <v>43027</v>
      </c>
    </row>
    <row r="107">
      <c r="A107" t="str">
        <v>Art</v>
      </c>
      <c r="B107" t="str">
        <v>Certificat de compétences aux techniques du trompe-l'oeil</v>
      </c>
      <c r="C107" t="str">
        <v>Les temps d'art</v>
      </c>
      <c r="D107" t="str">
        <f>HYPERLINK("https://inventaire.cncp.gouv.fr/fiches/2834/","2834")</f>
        <v>2834</v>
      </c>
      <c r="E107" t="str">
        <f>HYPERLINK("http://www.intercariforef.org/formations/certification-98389.html","98389")</f>
        <v>98389</v>
      </c>
      <c r="F107" s="1">
        <v>43027</v>
      </c>
      <c r="G107" s="1">
        <v>43027</v>
      </c>
    </row>
    <row r="108">
      <c r="A108" t="str">
        <v>Art</v>
      </c>
      <c r="B108" t="str">
        <v>Certificat de compétences de concepteur et créateur d'ambiances</v>
      </c>
      <c r="C108" t="str">
        <v>Les temps d'art</v>
      </c>
      <c r="D108" t="str">
        <f>HYPERLINK("https://inventaire.cncp.gouv.fr/fiches/2833/","2833")</f>
        <v>2833</v>
      </c>
      <c r="E108" t="str">
        <f>HYPERLINK("http://www.intercariforef.org/formations/certification-98391.html","98391")</f>
        <v>98391</v>
      </c>
      <c r="F108" s="1">
        <v>43027</v>
      </c>
      <c r="G108" s="1">
        <v>43027</v>
      </c>
    </row>
    <row r="109">
      <c r="A109" t="str">
        <v>Art</v>
      </c>
      <c r="B109" t="str">
        <v>Certification en dessin artistique - maîtrise des outils et techniques</v>
      </c>
      <c r="C109" t="str">
        <v>Lézard créatif</v>
      </c>
      <c r="D109" t="str">
        <f>HYPERLINK("https://inventaire.cncp.gouv.fr/fiches/3061/","3061")</f>
        <v>3061</v>
      </c>
      <c r="E109" t="str">
        <f>HYPERLINK("http://www.intercariforef.org/formations/certification-99257.html","99257")</f>
        <v>99257</v>
      </c>
      <c r="F109" s="1">
        <v>43080</v>
      </c>
      <c r="G109" s="1">
        <v>43080</v>
      </c>
    </row>
    <row r="110">
      <c r="A110" t="str">
        <v>Art</v>
      </c>
      <c r="B110" t="str">
        <v>Certification en peinture acrylique - maîtrise des outils et techniques</v>
      </c>
      <c r="C110" t="str">
        <v>Lézard créatif</v>
      </c>
      <c r="D110" t="str">
        <f>HYPERLINK("https://inventaire.cncp.gouv.fr/fiches/3064/","3064")</f>
        <v>3064</v>
      </c>
      <c r="E110" t="str">
        <f>HYPERLINK("http://www.intercariforef.org/formations/certification-99259.html","99259")</f>
        <v>99259</v>
      </c>
      <c r="F110" s="1">
        <v>43080</v>
      </c>
      <c r="G110" s="1">
        <v>43080</v>
      </c>
    </row>
    <row r="111">
      <c r="A111" t="str">
        <v>Art</v>
      </c>
      <c r="B111" t="str">
        <v>Développer un projet de production ou de diffusion dans les musiques actuelles</v>
      </c>
      <c r="C111" t="str">
        <v>Association trempolino</v>
      </c>
      <c r="D111" t="str">
        <f>HYPERLINK("https://inventaire.cncp.gouv.fr/fiches/3329/","3329")</f>
        <v>3329</v>
      </c>
      <c r="E111" t="str">
        <f>HYPERLINK("http://www.intercariforef.org/formations/certification-101187.html","101187")</f>
        <v>101187</v>
      </c>
      <c r="F111" s="1">
        <v>43250</v>
      </c>
      <c r="G111" s="1">
        <v>43250</v>
      </c>
    </row>
    <row r="112">
      <c r="A112" t="str">
        <v>Art</v>
      </c>
      <c r="B112" t="str">
        <v>Élaborer et promouvoir un projet artistique et d'action culturelle dans le secteur de la musique</v>
      </c>
      <c r="C112" t="str">
        <v>Cité de la musique - Philharmonie de Paris</v>
      </c>
      <c r="D112" t="str">
        <f>HYPERLINK("https://inventaire.cncp.gouv.fr/fiches/3861/","3861")</f>
        <v>3861</v>
      </c>
      <c r="E112" t="str">
        <f>HYPERLINK("http://www.intercariforef.org/formations/certification-104135.html","104135")</f>
        <v>104135</v>
      </c>
      <c r="F112" s="1">
        <v>43398</v>
      </c>
      <c r="G112" s="1">
        <v>43398</v>
      </c>
    </row>
    <row r="113">
      <c r="A113" t="str">
        <v>Art</v>
      </c>
      <c r="B113" t="str">
        <v>Encadrer un groupe de pratiques vocales collectives en musiques actuelles</v>
      </c>
      <c r="C113" t="str">
        <v>Plate-forme interrégionale d'échanges et de coopération pour le développement culturel</v>
      </c>
      <c r="D113" t="str">
        <f>HYPERLINK("https://inventaire.cncp.gouv.fr/fiches/2827/","2827")</f>
        <v>2827</v>
      </c>
      <c r="E113" t="str">
        <f>HYPERLINK("http://www.intercariforef.org/formations/certification-95605.html","95605")</f>
        <v>95605</v>
      </c>
      <c r="F113" s="1">
        <v>42893</v>
      </c>
      <c r="G113" s="1">
        <v>42893</v>
      </c>
    </row>
    <row r="114">
      <c r="A114" t="str">
        <v>Art</v>
      </c>
      <c r="B114" t="str">
        <v>Techniques de la voix-off et du doublage</v>
      </c>
      <c r="C114" t="str">
        <v>Institut des métiers du doublage et de l'audiovisiuel</v>
      </c>
      <c r="D114" t="str">
        <f>HYPERLINK("https://inventaire.cncp.gouv.fr/fiches/3207/","3207")</f>
        <v>3207</v>
      </c>
      <c r="E114" t="str">
        <f>HYPERLINK("http://www.intercariforef.org/formations/certification-99195.html","99195")</f>
        <v>99195</v>
      </c>
      <c r="F114" s="1">
        <v>43076</v>
      </c>
      <c r="G114" s="1">
        <v>43076</v>
      </c>
    </row>
    <row r="115">
      <c r="A115" t="str">
        <v>Art</v>
      </c>
      <c r="B115" t="str">
        <v>Techniques vocales du chanteur</v>
      </c>
      <c r="C115" t="str">
        <v>Harmoniques</v>
      </c>
      <c r="D115" t="str">
        <f>HYPERLINK("https://inventaire.cncp.gouv.fr/fiches/3795/","3795")</f>
        <v>3795</v>
      </c>
      <c r="E115" t="str">
        <f>HYPERLINK("http://www.intercariforef.org/formations/certification-104153.html","104153")</f>
        <v>104153</v>
      </c>
      <c r="F115" s="1">
        <v>43398</v>
      </c>
      <c r="G115" s="1">
        <v>43398</v>
      </c>
    </row>
    <row r="116">
      <c r="A116" t="str">
        <v>Artisanat art</v>
      </c>
      <c r="B116" t="str">
        <v>Certificat de compétences aux techniques de la dorure</v>
      </c>
      <c r="C116" t="str">
        <v>Les temps d'art</v>
      </c>
      <c r="D116" t="str">
        <f>HYPERLINK("https://inventaire.cncp.gouv.fr/fiches/2692/","2692")</f>
        <v>2692</v>
      </c>
      <c r="E116" t="str">
        <f>HYPERLINK("http://www.intercariforef.org/formations/certification-98543.html","98543")</f>
        <v>98543</v>
      </c>
      <c r="F116" s="1">
        <v>43034</v>
      </c>
      <c r="G116" s="1">
        <v>43034</v>
      </c>
    </row>
    <row r="117">
      <c r="A117" t="str">
        <v>Artisanat art</v>
      </c>
      <c r="B117" t="str">
        <v>Certificat de compétences aux techniques de la tapisserie en sièges</v>
      </c>
      <c r="C117" t="str">
        <v>Les temps d'art</v>
      </c>
      <c r="D117" t="str">
        <f>HYPERLINK("https://inventaire.cncp.gouv.fr/fiches/2783/","2783")</f>
        <v>2783</v>
      </c>
      <c r="E117" t="str">
        <f>HYPERLINK("http://www.intercariforef.org/formations/certification-99237.html","99237")</f>
        <v>99237</v>
      </c>
      <c r="F117" s="1">
        <v>43080</v>
      </c>
      <c r="G117" s="1">
        <v>43080</v>
      </c>
    </row>
    <row r="118">
      <c r="A118" t="str">
        <v>Artisanat art</v>
      </c>
      <c r="B118" t="str">
        <v>Certification en décor peint</v>
      </c>
      <c r="C118" t="str">
        <v>Institut des Décors Peints</v>
      </c>
      <c r="D118" t="str">
        <f>HYPERLINK("https://inventaire.cncp.gouv.fr/fiches/3715/","3715")</f>
        <v>3715</v>
      </c>
      <c r="E118" t="str">
        <f>HYPERLINK("http://www.intercariforef.org/formations/certification-103965.html","103965")</f>
        <v>103965</v>
      </c>
      <c r="F118" s="1">
        <v>43391</v>
      </c>
      <c r="G118" s="1">
        <v>43391</v>
      </c>
    </row>
    <row r="119" ht="26.2" customHeight="1">
      <c r="A119" t="str">
        <v>Artisanat art</v>
      </c>
      <c r="B119" t="str">
        <v>Sécurité des produits des industries du jouet et de la puériculture</v>
      </c>
      <c r="C119" t="str">
        <v>FCBA - Institut technologique, Groupe SGS France, Laboratoire national de métrologie et d'essais, UTAC CERAM</v>
      </c>
      <c r="D119" t="str">
        <f>HYPERLINK("https://inventaire.cncp.gouv.fr/fiches/2492/","2492")</f>
        <v>2492</v>
      </c>
      <c r="E119" t="str">
        <f>HYPERLINK("http://www.intercariforef.org/formations/certification-98387.html","98387")</f>
        <v>98387</v>
      </c>
      <c r="F119" s="1">
        <v>43027</v>
      </c>
      <c r="G119" s="1">
        <v>43027</v>
      </c>
    </row>
    <row r="120" ht="26.2" customHeight="1">
      <c r="A120" t="str">
        <v>Automatisme informatique industrielle</v>
      </c>
      <c r="B120" t="str">
        <v>Conception et mise en oeuvre de fonctions de régulation dans un PLC (Programmable Logic Controller)</v>
      </c>
      <c r="C120" t="str">
        <v>Schneider Electric France - Energy Training</v>
      </c>
      <c r="D120" t="str">
        <f>HYPERLINK("https://inventaire.cncp.gouv.fr/fiches/3468/","3468")</f>
        <v>3468</v>
      </c>
      <c r="E120" t="str">
        <f>HYPERLINK("http://www.intercariforef.org/formations/certification-100587.html","100587")</f>
        <v>100587</v>
      </c>
      <c r="F120" s="1">
        <v>43193</v>
      </c>
      <c r="G120" s="1">
        <v>43193</v>
      </c>
    </row>
    <row r="121">
      <c r="A121" t="str">
        <v>Automatisme informatique industrielle</v>
      </c>
      <c r="B121" t="str">
        <v>Conception et mise en oeuvre d'une application IHM (Interface Homme - Machine)</v>
      </c>
      <c r="C121" t="str">
        <v>Schneider Electric France - Energy Training</v>
      </c>
      <c r="D121" t="str">
        <f>HYPERLINK("https://inventaire.cncp.gouv.fr/fiches/3445/","3445")</f>
        <v>3445</v>
      </c>
      <c r="E121" t="str">
        <f>HYPERLINK("http://www.intercariforef.org/formations/certification-100001.html","100001")</f>
        <v>100001</v>
      </c>
      <c r="F121" s="1">
        <v>43151</v>
      </c>
      <c r="G121" s="1">
        <v>43151</v>
      </c>
    </row>
    <row r="122" ht="26.2" customHeight="1">
      <c r="A122" t="str">
        <v>Automatisme informatique industrielle</v>
      </c>
      <c r="B122" t="str">
        <v>Conception, programmation et exploitation avancée des commandes d'axes haute performance associées aux métiers industriels</v>
      </c>
      <c r="C122" t="str">
        <v>Schneider Electric France - Energy Training</v>
      </c>
      <c r="D122" t="str">
        <f>HYPERLINK("https://inventaire.cncp.gouv.fr/fiches/3455/","3455")</f>
        <v>3455</v>
      </c>
      <c r="E122" t="str">
        <f>HYPERLINK("http://www.intercariforef.org/formations/certification-100609.html","100609")</f>
        <v>100609</v>
      </c>
      <c r="F122" s="1">
        <v>43193</v>
      </c>
      <c r="G122" s="1">
        <v>43193</v>
      </c>
    </row>
    <row r="123" ht="26.2" customHeight="1">
      <c r="A123" t="str">
        <v>Automatisme informatique industrielle</v>
      </c>
      <c r="B123" t="str">
        <v>Conception, programmation et exploitation basique des commandes d'axes haute performance associées aux métiers industriels</v>
      </c>
      <c r="C123" t="str">
        <v>Schneider Electric France - Energy Training</v>
      </c>
      <c r="D123" t="str">
        <f>HYPERLINK("https://inventaire.cncp.gouv.fr/fiches/3454/","3454")</f>
        <v>3454</v>
      </c>
      <c r="E123" t="str">
        <f>HYPERLINK("http://www.intercariforef.org/formations/certification-100611.html","100611")</f>
        <v>100611</v>
      </c>
      <c r="F123" s="1">
        <v>43193</v>
      </c>
      <c r="G123" s="1">
        <v>43193</v>
      </c>
    </row>
    <row r="124" ht="26.2" customHeight="1">
      <c r="A124" t="str">
        <v>Automatisme informatique industrielle</v>
      </c>
      <c r="B124" t="str">
        <v>Construction, paramétrage et mise en oeuvre d'architectures d'automatismes à base de PAC (Programmable Automation Controller)</v>
      </c>
      <c r="C124" t="str">
        <v>Schneider Electric France - Energy Training</v>
      </c>
      <c r="D124" t="str">
        <f>HYPERLINK("https://inventaire.cncp.gouv.fr/fiches/3466/","3466")</f>
        <v>3466</v>
      </c>
      <c r="E124" t="str">
        <f>HYPERLINK("http://www.intercariforef.org/formations/certification-100591.html","100591")</f>
        <v>100591</v>
      </c>
      <c r="F124" s="1">
        <v>43193</v>
      </c>
      <c r="G124" s="1">
        <v>43193</v>
      </c>
    </row>
    <row r="125">
      <c r="A125" t="str">
        <v>Automatisme informatique industrielle</v>
      </c>
      <c r="B125" t="str">
        <v>Exploitation et dépannage d'une application équipée d'un variateur de vitesse</v>
      </c>
      <c r="C125" t="str">
        <v>Schneider Electric France - Energy Training</v>
      </c>
      <c r="D125" t="str">
        <f>HYPERLINK("https://inventaire.cncp.gouv.fr/fiches/3473/","3473")</f>
        <v>3473</v>
      </c>
      <c r="E125" t="str">
        <f>HYPERLINK("http://www.intercariforef.org/formations/certification-100573.html","100573")</f>
        <v>100573</v>
      </c>
      <c r="F125" s="1">
        <v>43193</v>
      </c>
      <c r="G125" s="1">
        <v>43193</v>
      </c>
    </row>
    <row r="126">
      <c r="A126" t="str">
        <v>Automatisme informatique industrielle</v>
      </c>
      <c r="B126" t="str">
        <v>Exploitation et maintenance d'une application IHM (Interface Homme - Machine)</v>
      </c>
      <c r="C126" t="str">
        <v>Schneider Electric France - Energy Training</v>
      </c>
      <c r="D126" t="str">
        <f>HYPERLINK("https://inventaire.cncp.gouv.fr/fiches/3462/","3462")</f>
        <v>3462</v>
      </c>
      <c r="E126" t="str">
        <f>HYPERLINK("http://www.intercariforef.org/formations/certification-100599.html","100599")</f>
        <v>100599</v>
      </c>
      <c r="F126" s="1">
        <v>43193</v>
      </c>
      <c r="G126" s="1">
        <v>43193</v>
      </c>
    </row>
    <row r="127">
      <c r="A127" t="str">
        <v>Automatisme informatique industrielle</v>
      </c>
      <c r="B127" t="str">
        <v>Exploitation et mise en oeuvre avancée d'un variateur pour une application à couple constant</v>
      </c>
      <c r="C127" t="str">
        <v>Schneider Electric France - Energy Training</v>
      </c>
      <c r="D127" t="str">
        <f>HYPERLINK("https://inventaire.cncp.gouv.fr/fiches/3470/","3470")</f>
        <v>3470</v>
      </c>
      <c r="E127" t="str">
        <f>HYPERLINK("http://www.intercariforef.org/formations/certification-100581.html","100581")</f>
        <v>100581</v>
      </c>
      <c r="F127" s="1">
        <v>43193</v>
      </c>
      <c r="G127" s="1">
        <v>43193</v>
      </c>
    </row>
    <row r="128">
      <c r="A128" t="str">
        <v>Automatisme informatique industrielle</v>
      </c>
      <c r="B128" t="str">
        <v>Exploitation et mise en oeuvre avancée d'un variateur pour une application à couple variable</v>
      </c>
      <c r="C128" t="str">
        <v>Schneider Electric France - Energy Training</v>
      </c>
      <c r="D128" t="str">
        <f>HYPERLINK("https://inventaire.cncp.gouv.fr/fiches/3472/","3472")</f>
        <v>3472</v>
      </c>
      <c r="E128" t="str">
        <f>HYPERLINK("http://www.intercariforef.org/formations/certification-100575.html","100575")</f>
        <v>100575</v>
      </c>
      <c r="F128" s="1">
        <v>43193</v>
      </c>
      <c r="G128" s="1">
        <v>43193</v>
      </c>
    </row>
    <row r="129">
      <c r="A129" t="str">
        <v>Automatisme informatique industrielle</v>
      </c>
      <c r="B129" t="str">
        <v>Exploitation et mise en oeuvre basique d'un variateur pour une application à couple constant</v>
      </c>
      <c r="C129" t="str">
        <v>Schneider Electric France - Energy Training</v>
      </c>
      <c r="D129" t="str">
        <f>HYPERLINK("https://inventaire.cncp.gouv.fr/fiches/3469/","3469")</f>
        <v>3469</v>
      </c>
      <c r="E129" t="str">
        <f>HYPERLINK("http://www.intercariforef.org/formations/certification-100585.html","100585")</f>
        <v>100585</v>
      </c>
      <c r="F129" s="1">
        <v>43193</v>
      </c>
      <c r="G129" s="1">
        <v>43193</v>
      </c>
    </row>
    <row r="130">
      <c r="A130" t="str">
        <v>Automatisme informatique industrielle</v>
      </c>
      <c r="B130" t="str">
        <v>Exploitation et mise en oeuvre basique d'un variateur pour une application à couple variable</v>
      </c>
      <c r="C130" t="str">
        <v>Schneider Electric France - Energy Training</v>
      </c>
      <c r="D130" t="str">
        <f>HYPERLINK("https://inventaire.cncp.gouv.fr/fiches/3471/","3471")</f>
        <v>3471</v>
      </c>
      <c r="E130" t="str">
        <f>HYPERLINK("http://www.intercariforef.org/formations/certification-100577.html","100577")</f>
        <v>100577</v>
      </c>
      <c r="F130" s="1">
        <v>43193</v>
      </c>
      <c r="G130" s="1">
        <v>43193</v>
      </c>
    </row>
    <row r="131" ht="26.2" customHeight="1">
      <c r="A131" t="str">
        <v>Automatisme informatique industrielle</v>
      </c>
      <c r="B131" t="str">
        <v>IACS (Industrial Automation Control System) - Cyber-sécurité des Systèmes de Contrôle-Commande Industriel</v>
      </c>
      <c r="C131" t="str">
        <v>Institut de Régulation et Automation</v>
      </c>
      <c r="D131" t="str">
        <f>HYPERLINK("https://inventaire.cncp.gouv.fr/fiches/3384/","3384")</f>
        <v>3384</v>
      </c>
      <c r="E131" t="str">
        <f>HYPERLINK("http://www.intercariforef.org/formations/certification-100667.html","100667")</f>
        <v>100667</v>
      </c>
      <c r="F131" s="1">
        <v>43194</v>
      </c>
      <c r="G131" s="1">
        <v>43194</v>
      </c>
    </row>
    <row r="132">
      <c r="A132" t="str">
        <v>Automatisme informatique industrielle</v>
      </c>
      <c r="B132" t="str">
        <v>IACS (Industrial Automation Control System) spécialité Contrôle-Commande de Sécurité</v>
      </c>
      <c r="C132" t="str">
        <v>Institut de Régulation et Automation</v>
      </c>
      <c r="D132" t="str">
        <f>HYPERLINK("https://inventaire.cncp.gouv.fr/fiches/1980/","1980")</f>
        <v>1980</v>
      </c>
      <c r="E132" t="str">
        <f>HYPERLINK("http://www.intercariforef.org/formations/certification-88593.html","88593")</f>
        <v>88593</v>
      </c>
      <c r="F132" s="1">
        <v>42482</v>
      </c>
      <c r="G132" s="1">
        <v>42482</v>
      </c>
    </row>
    <row r="133">
      <c r="A133" t="str">
        <v>Automatisme informatique industrielle</v>
      </c>
      <c r="B133" t="str">
        <v>IACS (Industrial Automation Control System) spécialité Instrumentation</v>
      </c>
      <c r="C133" t="str">
        <v>Institut de Régulation et Automation</v>
      </c>
      <c r="D133" t="str">
        <f>HYPERLINK("https://inventaire.cncp.gouv.fr/fiches/1981/","1981")</f>
        <v>1981</v>
      </c>
      <c r="E133" t="str">
        <f>HYPERLINK("http://www.intercariforef.org/formations/certification-88595.html","88595")</f>
        <v>88595</v>
      </c>
      <c r="F133" s="1">
        <v>42482</v>
      </c>
      <c r="G133" s="1">
        <v>42482</v>
      </c>
    </row>
    <row r="134">
      <c r="A134" t="str">
        <v>Automatisme informatique industrielle</v>
      </c>
      <c r="B134" t="str">
        <v>IACS (Industrial Automation Control System) spécialité Régulation</v>
      </c>
      <c r="C134" t="str">
        <v>Institut de Régulation et Automation</v>
      </c>
      <c r="D134" t="str">
        <f>HYPERLINK("https://inventaire.cncp.gouv.fr/fiches/1982/","1982")</f>
        <v>1982</v>
      </c>
      <c r="E134" t="str">
        <f>HYPERLINK("http://www.intercariforef.org/formations/certification-88597.html","88597")</f>
        <v>88597</v>
      </c>
      <c r="F134" s="1">
        <v>42482</v>
      </c>
      <c r="G134" s="1">
        <v>42482</v>
      </c>
    </row>
    <row r="135">
      <c r="A135" t="str">
        <v>Automatisme informatique industrielle</v>
      </c>
      <c r="B135" t="str">
        <v>IACS (Industrial Automation Control System) spécialités Automatismes</v>
      </c>
      <c r="C135" t="str">
        <v>Institut de Régulation et Automation</v>
      </c>
      <c r="D135" t="str">
        <f>HYPERLINK("https://inventaire.cncp.gouv.fr/fiches/1983/","1983")</f>
        <v>1983</v>
      </c>
      <c r="E135" t="str">
        <f>HYPERLINK("http://www.intercariforef.org/formations/certification-88591.html","88591")</f>
        <v>88591</v>
      </c>
      <c r="F135" s="1">
        <v>42482</v>
      </c>
      <c r="G135" s="1">
        <v>43194</v>
      </c>
    </row>
    <row r="136">
      <c r="A136" t="str">
        <v>Automatisme informatique industrielle</v>
      </c>
      <c r="B136" t="str">
        <v>Les bonnes pratiques de la supervision</v>
      </c>
      <c r="C136" t="str">
        <v>Toptech</v>
      </c>
      <c r="D136" t="str">
        <f>HYPERLINK("https://inventaire.cncp.gouv.fr/fiches/3483/","3483")</f>
        <v>3483</v>
      </c>
      <c r="E136" t="str">
        <f>HYPERLINK("http://www.intercariforef.org/formations/certification-101175.html","101175")</f>
        <v>101175</v>
      </c>
      <c r="F136" s="1">
        <v>43250</v>
      </c>
      <c r="G136" s="1">
        <v>43250</v>
      </c>
    </row>
    <row r="137">
      <c r="A137" t="str">
        <v>Automatisme informatique industrielle</v>
      </c>
      <c r="B137" t="str">
        <v>Maintenance et dépannage mécanique des axes linéaires</v>
      </c>
      <c r="C137" t="str">
        <v>Schneider Electric France - Energy Training</v>
      </c>
      <c r="D137" t="str">
        <f>HYPERLINK("https://inventaire.cncp.gouv.fr/fiches/3458/","3458")</f>
        <v>3458</v>
      </c>
      <c r="E137" t="str">
        <f>HYPERLINK("http://www.intercariforef.org/formations/certification-100607.html","100607")</f>
        <v>100607</v>
      </c>
      <c r="F137" s="1">
        <v>43193</v>
      </c>
      <c r="G137" s="1">
        <v>43193</v>
      </c>
    </row>
    <row r="138" ht="26.2" customHeight="1">
      <c r="A138" t="str">
        <v>Automatisme informatique industrielle</v>
      </c>
      <c r="B138" t="str">
        <v>Maintenance et exploitation avancée des commandes d'axes haute performance, associées aux métiers industriels</v>
      </c>
      <c r="C138" t="str">
        <v>Schneider Electric France - Energy Training</v>
      </c>
      <c r="D138" t="str">
        <f>HYPERLINK("https://inventaire.cncp.gouv.fr/fiches/3460/","3460")</f>
        <v>3460</v>
      </c>
      <c r="E138" t="str">
        <f>HYPERLINK("http://www.intercariforef.org/formations/certification-100603.html","100603")</f>
        <v>100603</v>
      </c>
      <c r="F138" s="1">
        <v>43193</v>
      </c>
      <c r="G138" s="1">
        <v>43193</v>
      </c>
    </row>
    <row r="139" ht="26.2" customHeight="1">
      <c r="A139" t="str">
        <v>Automatisme informatique industrielle</v>
      </c>
      <c r="B139" t="str">
        <v>Maintenance et exploitation basique des commandes d'axes haute performance, associées aux métiers industriels</v>
      </c>
      <c r="C139" t="str">
        <v>Schneider Electric France - Energy Training</v>
      </c>
      <c r="D139" t="str">
        <f>HYPERLINK("https://inventaire.cncp.gouv.fr/fiches/3459/","3459")</f>
        <v>3459</v>
      </c>
      <c r="E139" t="str">
        <f>HYPERLINK("http://www.intercariforef.org/formations/certification-100605.html","100605")</f>
        <v>100605</v>
      </c>
      <c r="F139" s="1">
        <v>43193</v>
      </c>
      <c r="G139" s="1">
        <v>43193</v>
      </c>
    </row>
    <row r="140">
      <c r="A140" t="str">
        <v>Automatisme informatique industrielle</v>
      </c>
      <c r="B140" t="str">
        <v>Maintien en condition opérationnelle d'un automate programmable</v>
      </c>
      <c r="C140" t="str">
        <v>Schneider Electric France - Energy Training</v>
      </c>
      <c r="D140" t="str">
        <f>HYPERLINK("https://inventaire.cncp.gouv.fr/fiches/3463/","3463")</f>
        <v>3463</v>
      </c>
      <c r="E140" t="str">
        <f>HYPERLINK("http://www.intercariforef.org/formations/certification-100597.html","100597")</f>
        <v>100597</v>
      </c>
      <c r="F140" s="1">
        <v>43193</v>
      </c>
      <c r="G140" s="1">
        <v>43193</v>
      </c>
    </row>
    <row r="141" ht="26.2" customHeight="1">
      <c r="A141" t="str">
        <v>Automatisme informatique industrielle</v>
      </c>
      <c r="B141" t="str">
        <v>Migration de programme d'une commande d'axes haute performance ancienne génération vers la nouvelle offre</v>
      </c>
      <c r="C141" t="str">
        <v>Schneider Electric France - Energy Training</v>
      </c>
      <c r="D141" t="str">
        <f>HYPERLINK("https://inventaire.cncp.gouv.fr/fiches/3451/","3451")</f>
        <v>3451</v>
      </c>
      <c r="E141" t="str">
        <f>HYPERLINK("http://www.intercariforef.org/formations/certification-99991.html","99991")</f>
        <v>99991</v>
      </c>
      <c r="F141" s="1">
        <v>43151</v>
      </c>
      <c r="G141" s="1">
        <v>43151</v>
      </c>
    </row>
    <row r="142" ht="26.2" customHeight="1">
      <c r="A142" t="str">
        <v>Automatisme informatique industrielle</v>
      </c>
      <c r="B142" t="str">
        <v>Mise oeuvre, programmation et exploitation du fonctionnement d'une commande de mouvement autonome</v>
      </c>
      <c r="C142" t="str">
        <v>Schneider Electric France - Energy Training</v>
      </c>
      <c r="D142" t="str">
        <f>HYPERLINK("https://inventaire.cncp.gouv.fr/fiches/3461/","3461")</f>
        <v>3461</v>
      </c>
      <c r="E142" t="str">
        <f>HYPERLINK("http://www.intercariforef.org/formations/certification-100601.html","100601")</f>
        <v>100601</v>
      </c>
      <c r="F142" s="1">
        <v>43193</v>
      </c>
      <c r="G142" s="1">
        <v>43193</v>
      </c>
    </row>
    <row r="143" ht="26.2" customHeight="1">
      <c r="A143" t="str">
        <v>Automatisme informatique industrielle</v>
      </c>
      <c r="B143" t="str">
        <v>Programmation des fonctions avancées d'un contrôleur programmable dédié aux automatismes de machines et machines spéciales</v>
      </c>
      <c r="C143" t="str">
        <v>Schneider Electric France - Energy Training</v>
      </c>
      <c r="D143" t="str">
        <f>HYPERLINK("https://inventaire.cncp.gouv.fr/fiches/3450/","3450")</f>
        <v>3450</v>
      </c>
      <c r="E143" t="str">
        <f>HYPERLINK("http://www.intercariforef.org/formations/certification-99993.html","99993")</f>
        <v>99993</v>
      </c>
      <c r="F143" s="1">
        <v>43151</v>
      </c>
      <c r="G143" s="1">
        <v>43151</v>
      </c>
    </row>
    <row r="144">
      <c r="A144" t="str">
        <v>Automatisme informatique industrielle</v>
      </c>
      <c r="B144" t="str">
        <v>Programmation des fonctions avancées d'un PLC</v>
      </c>
      <c r="C144" t="str">
        <v>Schneider Electric France - Energy Training</v>
      </c>
      <c r="D144" t="str">
        <f>HYPERLINK("https://inventaire.cncp.gouv.fr/fiches/3448/","3448")</f>
        <v>3448</v>
      </c>
      <c r="E144" t="str">
        <f>HYPERLINK("http://www.intercariforef.org/formations/certification-99997.html","99997")</f>
        <v>99997</v>
      </c>
      <c r="F144" s="1">
        <v>43151</v>
      </c>
      <c r="G144" s="1">
        <v>43151</v>
      </c>
    </row>
    <row r="145">
      <c r="A145" t="str">
        <v>Automatisme informatique industrielle</v>
      </c>
      <c r="B145" t="str">
        <v>Programmation des fonctions avancées d'un SCADA (Supervisory Control and Data Acquisition)</v>
      </c>
      <c r="C145" t="str">
        <v>Schneider Electric France - Energy Training</v>
      </c>
      <c r="D145" t="str">
        <f>HYPERLINK("https://inventaire.cncp.gouv.fr/fiches/3465/","3465")</f>
        <v>3465</v>
      </c>
      <c r="E145" t="str">
        <f>HYPERLINK("http://www.intercariforef.org/formations/certification-100593.html","100593")</f>
        <v>100593</v>
      </c>
      <c r="F145" s="1">
        <v>43193</v>
      </c>
      <c r="G145" s="1">
        <v>43193</v>
      </c>
    </row>
    <row r="146" ht="26.2" customHeight="1">
      <c r="A146" t="str">
        <v>Automatisme informatique industrielle</v>
      </c>
      <c r="B146" t="str">
        <v>Programmation des fonctions basiques d'un contrôleur programmable dédié aux automatismes de machines et machines spéciales</v>
      </c>
      <c r="C146" t="str">
        <v>Schneider Electric France - Energy Training</v>
      </c>
      <c r="D146" t="str">
        <f>HYPERLINK("https://inventaire.cncp.gouv.fr/fiches/3449/","3449")</f>
        <v>3449</v>
      </c>
      <c r="E146" t="str">
        <f>HYPERLINK("http://www.intercariforef.org/formations/certification-99995.html","99995")</f>
        <v>99995</v>
      </c>
      <c r="F146" s="1">
        <v>43151</v>
      </c>
      <c r="G146" s="1">
        <v>43151</v>
      </c>
    </row>
    <row r="147">
      <c r="A147" t="str">
        <v>Automatisme informatique industrielle</v>
      </c>
      <c r="B147" t="str">
        <v>Programmation des fonctions basiques d'un PLC</v>
      </c>
      <c r="C147" t="str">
        <v>Schneider Electric France - Energy Training</v>
      </c>
      <c r="D147" t="str">
        <f>HYPERLINK("https://inventaire.cncp.gouv.fr/fiches/3452/","3452")</f>
        <v>3452</v>
      </c>
      <c r="E147" t="str">
        <f>HYPERLINK("http://www.intercariforef.org/formations/certification-100613.html","100613")</f>
        <v>100613</v>
      </c>
      <c r="F147" s="1">
        <v>43193</v>
      </c>
      <c r="G147" s="1">
        <v>43193</v>
      </c>
    </row>
    <row r="148">
      <c r="A148" t="str">
        <v>Automatisme informatique industrielle</v>
      </c>
      <c r="B148" t="str">
        <v>Programmation des fonctions basiques d'un SCADA (Supervisory Control and Data Acquisition)</v>
      </c>
      <c r="C148" t="str">
        <v>Schneider Electric France - Energy Training</v>
      </c>
      <c r="D148" t="str">
        <f>HYPERLINK("https://inventaire.cncp.gouv.fr/fiches/3464/","3464")</f>
        <v>3464</v>
      </c>
      <c r="E148" t="str">
        <f>HYPERLINK("http://www.intercariforef.org/formations/certification-100595.html","100595")</f>
        <v>100595</v>
      </c>
      <c r="F148" s="1">
        <v>43193</v>
      </c>
      <c r="G148" s="1">
        <v>43193</v>
      </c>
    </row>
    <row r="149" ht="26.2" customHeight="1">
      <c r="A149" t="str">
        <v>Automatisme informatique industrielle</v>
      </c>
      <c r="B149" t="str">
        <v>Programmation et mise en oeuvre d'un automatisme redondant à base de PAC (Programmable Automation Controller)</v>
      </c>
      <c r="C149" t="str">
        <v>Schneider Electric France - Energy Training</v>
      </c>
      <c r="D149" t="str">
        <f>HYPERLINK("https://inventaire.cncp.gouv.fr/fiches/3467/","3467")</f>
        <v>3467</v>
      </c>
      <c r="E149" t="str">
        <f>HYPERLINK("http://www.intercariforef.org/formations/certification-100589.html","100589")</f>
        <v>100589</v>
      </c>
      <c r="F149" s="1">
        <v>43193</v>
      </c>
      <c r="G149" s="1">
        <v>43193</v>
      </c>
    </row>
    <row r="150">
      <c r="A150" t="str">
        <v>Banque assurance</v>
      </c>
      <c r="B150" t="str">
        <v>Analyse des risques de l'entreprise</v>
      </c>
      <c r="C150" t="str">
        <v>École supérieure d'assurances</v>
      </c>
      <c r="D150" t="str">
        <f>HYPERLINK("https://inventaire.cncp.gouv.fr/fiches/2493/","2493")</f>
        <v>2493</v>
      </c>
      <c r="E150" t="str">
        <f>HYPERLINK("http://www.intercariforef.org/formations/certification-93795.html","93795")</f>
        <v>93795</v>
      </c>
      <c r="F150" s="1">
        <v>42725</v>
      </c>
      <c r="G150" s="1">
        <v>42725</v>
      </c>
    </row>
    <row r="151">
      <c r="A151" t="str">
        <v>Banque assurance</v>
      </c>
      <c r="B151" t="str">
        <v>Analyser les demandes de crédit, proposer des solutions et évaluer les risques</v>
      </c>
      <c r="C151" t="str">
        <v>CPNE de la banque</v>
      </c>
      <c r="D151" t="str">
        <f>HYPERLINK("https://inventaire.cncp.gouv.fr/fiches/3025/","3025")</f>
        <v>3025</v>
      </c>
      <c r="E151" t="str">
        <f>HYPERLINK("http://www.intercariforef.org/formations/certification-98527.html","98527")</f>
        <v>98527</v>
      </c>
      <c r="F151" s="1">
        <v>43033</v>
      </c>
      <c r="G151" s="1">
        <v>43033</v>
      </c>
    </row>
    <row r="152">
      <c r="A152" t="str">
        <v>Banque assurance</v>
      </c>
      <c r="B152" t="str">
        <v>Assurance et gestion de patrimoine</v>
      </c>
      <c r="C152" t="str">
        <v>Institut de formation de la profession de l'assurance (IFPASS)</v>
      </c>
      <c r="D152" t="str">
        <f>HYPERLINK("https://inventaire.cncp.gouv.fr/fiches/2993/","2993")</f>
        <v>2993</v>
      </c>
      <c r="E152" t="str">
        <f>HYPERLINK("http://www.intercariforef.org/formations/certification-101485.html","101485")</f>
        <v>101485</v>
      </c>
      <c r="F152" s="1">
        <v>43265</v>
      </c>
      <c r="G152" s="1">
        <v>43265</v>
      </c>
    </row>
    <row r="153">
      <c r="A153" t="str">
        <v>Banque assurance</v>
      </c>
      <c r="B153" t="str">
        <v>Assurance et risques complexes d'entreprise</v>
      </c>
      <c r="C153" t="str">
        <v>Institut de formation de la profession de l'assurance (IFPASS)</v>
      </c>
      <c r="D153" t="str">
        <f>HYPERLINK("https://inventaire.cncp.gouv.fr/fiches/2998/","2998")</f>
        <v>2998</v>
      </c>
      <c r="E153" t="str">
        <f>HYPERLINK("http://www.intercariforef.org/formations/certification-101477.html","101477")</f>
        <v>101477</v>
      </c>
      <c r="F153" s="1">
        <v>43265</v>
      </c>
      <c r="G153" s="1">
        <v>43265</v>
      </c>
    </row>
    <row r="154">
      <c r="A154" t="str">
        <v>Banque assurance</v>
      </c>
      <c r="B154" t="str">
        <v>Assurance et risques complexes du particulier</v>
      </c>
      <c r="C154" t="str">
        <v>Institut de formation de la profession de l'assurance (IFPASS)</v>
      </c>
      <c r="D154" t="str">
        <f>HYPERLINK("https://inventaire.cncp.gouv.fr/fiches/2995/","2995")</f>
        <v>2995</v>
      </c>
      <c r="E154" t="str">
        <f>HYPERLINK("http://www.intercariforef.org/formations/certification-101481.html","101481")</f>
        <v>101481</v>
      </c>
      <c r="F154" s="1">
        <v>43265</v>
      </c>
      <c r="G154" s="1">
        <v>43265</v>
      </c>
    </row>
    <row r="155">
      <c r="A155" t="str">
        <v>Banque assurance</v>
      </c>
      <c r="B155" t="str">
        <v>Assurance et risques standards IARD du particulier</v>
      </c>
      <c r="C155" t="str">
        <v>Institut de formation de la profession de l'assurance (IFPASS)</v>
      </c>
      <c r="D155" t="str">
        <f>HYPERLINK("https://inventaire.cncp.gouv.fr/fiches/2996/","2996")</f>
        <v>2996</v>
      </c>
      <c r="E155" t="str">
        <f>HYPERLINK("http://www.intercariforef.org/formations/certification-101479.html","101479")</f>
        <v>101479</v>
      </c>
      <c r="F155" s="1">
        <v>43265</v>
      </c>
      <c r="G155" s="1">
        <v>43265</v>
      </c>
    </row>
    <row r="156">
      <c r="A156" t="str">
        <v>Banque assurance</v>
      </c>
      <c r="B156" t="str">
        <v>Assurance vie individuelle</v>
      </c>
      <c r="C156" t="str">
        <v>Institut de formation de la profession de l'assurance (IFPASS)</v>
      </c>
      <c r="D156" t="str">
        <f>HYPERLINK("https://inventaire.cncp.gouv.fr/fiches/2991/","2991")</f>
        <v>2991</v>
      </c>
      <c r="E156" t="str">
        <f>HYPERLINK("http://www.intercariforef.org/formations/certification-101487.html","101487")</f>
        <v>101487</v>
      </c>
      <c r="F156" s="1">
        <v>43265</v>
      </c>
      <c r="G156" s="1">
        <v>43265</v>
      </c>
    </row>
    <row r="157" ht="26.2" customHeight="1">
      <c r="A157" t="str">
        <v>Banque assurance</v>
      </c>
      <c r="B157" t="str">
        <v>Capacité professionnelle des salariés commerciaux dans les sociétés d'assurances (livret de stage niveau I)</v>
      </c>
      <c r="C157" t="str">
        <v>Ministère de l'économie et des finances</v>
      </c>
      <c r="D157" t="str">
        <f>HYPERLINK("https://inventaire.cncp.gouv.fr/fiches/816/","816")</f>
        <v>816</v>
      </c>
      <c r="E157" t="str">
        <f>HYPERLINK("http://www.intercariforef.org/formations/certification-84757.html","84757")</f>
        <v>84757</v>
      </c>
      <c r="F157" s="1">
        <v>42159</v>
      </c>
      <c r="G157" s="1">
        <v>43129</v>
      </c>
    </row>
    <row r="158" ht="26.2" customHeight="1">
      <c r="A158" t="str">
        <v>Banque assurance</v>
      </c>
      <c r="B158" t="str">
        <v>Capacité professionnelle des salariés commerciaux dans les sociétés d'assurances (livret de stage niveau II)</v>
      </c>
      <c r="C158" t="str">
        <v>Ministère de l'économie et des finances</v>
      </c>
      <c r="D158" t="str">
        <f>HYPERLINK("https://inventaire.cncp.gouv.fr/fiches/818/","818")</f>
        <v>818</v>
      </c>
      <c r="E158" t="str">
        <f>HYPERLINK("http://www.intercariforef.org/formations/certification-84758.html","84758")</f>
        <v>84758</v>
      </c>
      <c r="F158" s="1">
        <v>42159</v>
      </c>
      <c r="G158" s="1">
        <v>43129</v>
      </c>
    </row>
    <row r="159">
      <c r="A159" t="str">
        <v>Banque assurance</v>
      </c>
      <c r="B159" t="str">
        <v>Certificat assurance et risques construction</v>
      </c>
      <c r="C159" t="str">
        <v>Institut de formation de la profession de l'assurance (IFPASS)</v>
      </c>
      <c r="D159" t="str">
        <f>HYPERLINK("https://inventaire.cncp.gouv.fr/fiches/2986/","2986")</f>
        <v>2986</v>
      </c>
      <c r="E159" t="str">
        <f>HYPERLINK("http://www.intercariforef.org/formations/certification-101493.html","101493")</f>
        <v>101493</v>
      </c>
      <c r="F159" s="1">
        <v>43265</v>
      </c>
      <c r="G159" s="1">
        <v>43265</v>
      </c>
    </row>
    <row r="160">
      <c r="A160" t="str">
        <v>Banque assurance</v>
      </c>
      <c r="B160" t="str">
        <v>Certificat bancaire de gestion de clientèles professionnelles</v>
      </c>
      <c r="C160" t="str">
        <v>Evocime formations banque et assurance</v>
      </c>
      <c r="D160" t="str">
        <f>HYPERLINK("https://inventaire.cncp.gouv.fr/fiches/3073/","3073")</f>
        <v>3073</v>
      </c>
      <c r="E160" t="str">
        <f>HYPERLINK("http://www.intercariforef.org/formations/certification-104059.html","104059")</f>
        <v>104059</v>
      </c>
      <c r="F160" s="1">
        <v>43395</v>
      </c>
      <c r="G160" s="1">
        <v>43395</v>
      </c>
    </row>
    <row r="161">
      <c r="A161" t="str">
        <v>Banque assurance</v>
      </c>
      <c r="B161" t="str">
        <v>Certificat de compétence EEA</v>
      </c>
      <c r="C161" t="str">
        <v>Centre national de la prévention et de la protection (CNPP)</v>
      </c>
      <c r="D161" t="str">
        <f>HYPERLINK("https://inventaire.cncp.gouv.fr/fiches/1362/","1362")</f>
        <v>1362</v>
      </c>
      <c r="E161" t="str">
        <f>HYPERLINK("http://www.intercariforef.org/formations/certification-86556.html","86556")</f>
        <v>86556</v>
      </c>
      <c r="F161" s="1">
        <v>42352</v>
      </c>
      <c r="G161" s="1">
        <v>42354</v>
      </c>
    </row>
    <row r="162" ht="26.2" customHeight="1">
      <c r="A162" t="str">
        <v>Banque assurance</v>
      </c>
      <c r="B162" t="str">
        <v>Certificat de gestion actif passif (Asset Liability Management)</v>
      </c>
      <c r="C162" t="str">
        <v>Association Française des Gestionnaires Actif-Passif (AFGAP), Groupe des Écoles Nationales d'Économie et Statistique (Genes), Ensae Ensai formation continue (Cepe)</v>
      </c>
      <c r="D162" t="str">
        <f>HYPERLINK("https://inventaire.cncp.gouv.fr/fiches/2681/","2681")</f>
        <v>2681</v>
      </c>
      <c r="E162" t="str">
        <f>HYPERLINK("http://www.intercariforef.org/formations/certification-95273.html","95273")</f>
        <v>95273</v>
      </c>
      <c r="F162" s="1">
        <v>42851</v>
      </c>
      <c r="G162" s="1">
        <v>42851</v>
      </c>
    </row>
    <row r="163">
      <c r="A163" t="str">
        <v>Banque assurance</v>
      </c>
      <c r="B163" t="str">
        <v>Certificat Digital Assurance</v>
      </c>
      <c r="C163" t="str">
        <v>Comité paritaire national pour la formation professionnelle et l'emploi des sociétés d'assurances</v>
      </c>
      <c r="D163" t="str">
        <f>HYPERLINK("https://inventaire.cncp.gouv.fr/fiches/2362/","2362")</f>
        <v>2362</v>
      </c>
      <c r="E163" t="str">
        <f>HYPERLINK("http://www.intercariforef.org/formations/certification-92051.html","92051")</f>
        <v>92051</v>
      </c>
      <c r="F163" s="1">
        <v>42667</v>
      </c>
      <c r="G163" s="1">
        <v>42667</v>
      </c>
    </row>
    <row r="164">
      <c r="A164" t="str">
        <v>Banque assurance</v>
      </c>
      <c r="B164" t="str">
        <v>Certificat gestion de la relation client</v>
      </c>
      <c r="C164" t="str">
        <v>Institut de formation de la profession de l'assurance (IFPASS)</v>
      </c>
      <c r="D164" t="str">
        <f>HYPERLINK("https://inventaire.cncp.gouv.fr/fiches/3075/","3075")</f>
        <v>3075</v>
      </c>
      <c r="E164" t="str">
        <f>HYPERLINK("http://www.intercariforef.org/formations/certification-100529.html","100529")</f>
        <v>100529</v>
      </c>
      <c r="F164" s="1">
        <v>43187</v>
      </c>
      <c r="G164" s="1">
        <v>43187</v>
      </c>
    </row>
    <row r="165" ht="26.2" customHeight="1">
      <c r="A165" t="str">
        <v>Banque assurance</v>
      </c>
      <c r="B165" t="str">
        <v>Certificat inspection incendie - maîtriser la prévention, les risques et assurances incendie/explosion</v>
      </c>
      <c r="C165" t="str">
        <v>Institut de formation de la profession de l'assurance (IFPASS)</v>
      </c>
      <c r="D165" t="str">
        <f>HYPERLINK("https://inventaire.cncp.gouv.fr/fiches/2989/","2989")</f>
        <v>2989</v>
      </c>
      <c r="E165" t="str">
        <f>HYPERLINK("http://www.intercariforef.org/formations/certification-101495.html","101495")</f>
        <v>101495</v>
      </c>
      <c r="F165" s="1">
        <v>43265</v>
      </c>
      <c r="G165" s="1">
        <v>43265</v>
      </c>
    </row>
    <row r="166">
      <c r="A166" t="str">
        <v>Banque assurance</v>
      </c>
      <c r="B166" t="str">
        <v>Certificat Relation clientèle et services bancaires</v>
      </c>
      <c r="C166" t="str">
        <v>Centre de formation de la profession bancaire (CFPB)</v>
      </c>
      <c r="D166" t="str">
        <f>HYPERLINK("https://inventaire.cncp.gouv.fr/fiches/3676/","3676")</f>
        <v>3676</v>
      </c>
      <c r="E166" t="str">
        <f>HYPERLINK("http://www.intercariforef.org/formations/certification-102683.html","102683")</f>
        <v>102683</v>
      </c>
      <c r="F166" s="1">
        <v>43301</v>
      </c>
      <c r="G166" s="1">
        <v>43301</v>
      </c>
    </row>
    <row r="167">
      <c r="A167" t="str">
        <v>Banque assurance</v>
      </c>
      <c r="B167" t="str">
        <v>Certification Culture bancaire</v>
      </c>
      <c r="C167" t="str">
        <v>Centre de formation de la profession bancaire (CFPB)</v>
      </c>
      <c r="D167" t="str">
        <f>HYPERLINK("https://inventaire.cncp.gouv.fr/fiches/2916/","2916")</f>
        <v>2916</v>
      </c>
      <c r="E167" t="str">
        <f>HYPERLINK("http://www.intercariforef.org/formations/certification-98627.html","98627")</f>
        <v>98627</v>
      </c>
      <c r="F167" s="1">
        <v>43038</v>
      </c>
      <c r="G167" s="1">
        <v>43038</v>
      </c>
    </row>
    <row r="168">
      <c r="A168" t="str">
        <v>Banque assurance</v>
      </c>
      <c r="B168" t="str">
        <v>Certification Directive Crédit Immobilier (DCI)</v>
      </c>
      <c r="C168" t="str">
        <v>CPNE de la banque</v>
      </c>
      <c r="D168" t="str">
        <f>HYPERLINK("https://inventaire.cncp.gouv.fr/fiches/2807/","2807")</f>
        <v>2807</v>
      </c>
      <c r="E168" t="str">
        <f>HYPERLINK("http://www.intercariforef.org/formations/certification-95269.html","95269")</f>
        <v>95269</v>
      </c>
      <c r="F168" s="1">
        <v>42851</v>
      </c>
      <c r="G168" s="1">
        <v>42851</v>
      </c>
    </row>
    <row r="169">
      <c r="A169" t="str">
        <v>Banque assurance</v>
      </c>
      <c r="B169" t="str">
        <v>Certification en Analyse Financière - Chartered Financial Analyst (CFA)</v>
      </c>
      <c r="C169" t="str">
        <v>CFA Institute</v>
      </c>
      <c r="D169" t="str">
        <f>HYPERLINK("https://inventaire.cncp.gouv.fr/fiches/2568/","2568")</f>
        <v>2568</v>
      </c>
      <c r="E169" t="str">
        <f>HYPERLINK("http://www.intercariforef.org/formations/certification-95857.html","95857")</f>
        <v>95857</v>
      </c>
      <c r="F169" s="1">
        <v>42902</v>
      </c>
      <c r="G169" s="1">
        <v>42902</v>
      </c>
    </row>
    <row r="170">
      <c r="A170" t="str">
        <v>Banque assurance</v>
      </c>
      <c r="B170" t="str">
        <v>Certification sur les enjeux économiques, technologiques et humains du secteur Fintech</v>
      </c>
      <c r="C170" t="str">
        <v>Wake up</v>
      </c>
      <c r="D170" t="str">
        <f>HYPERLINK("https://inventaire.cncp.gouv.fr/fiches/3015/","3015")</f>
        <v>3015</v>
      </c>
      <c r="E170" t="str">
        <f>HYPERLINK("http://www.intercariforef.org/formations/certification-96497.html","96497")</f>
        <v>96497</v>
      </c>
      <c r="F170" s="1">
        <v>42928</v>
      </c>
      <c r="G170" s="1">
        <v>42928</v>
      </c>
    </row>
    <row r="171">
      <c r="A171" t="str">
        <v>Banque assurance</v>
      </c>
      <c r="B171" t="str">
        <v>Commercialisation et gestion d'assurances collectives</v>
      </c>
      <c r="C171" t="str">
        <v>Institut de formation de la profession de l'assurance (IFPASS)</v>
      </c>
      <c r="D171" t="str">
        <f>HYPERLINK("https://inventaire.cncp.gouv.fr/fiches/2994/","2994")</f>
        <v>2994</v>
      </c>
      <c r="E171" t="str">
        <f>HYPERLINK("http://www.intercariforef.org/formations/certification-101483.html","101483")</f>
        <v>101483</v>
      </c>
      <c r="F171" s="1">
        <v>43265</v>
      </c>
      <c r="G171" s="1">
        <v>43265</v>
      </c>
    </row>
    <row r="172">
      <c r="A172" t="str">
        <v>Banque assurance</v>
      </c>
      <c r="B172" t="str">
        <v>Commercialiser des solutions assurbanque - banque au quotidien</v>
      </c>
      <c r="C172" t="str">
        <v>DEMOS</v>
      </c>
      <c r="D172" t="str">
        <f>HYPERLINK("https://inventaire.cncp.gouv.fr/fiches/3313/","3313")</f>
        <v>3313</v>
      </c>
      <c r="E172" t="str">
        <f>HYPERLINK("http://www.intercariforef.org/formations/certification-100549.html","100549")</f>
        <v>100549</v>
      </c>
      <c r="F172" s="1">
        <v>43188</v>
      </c>
      <c r="G172" s="1">
        <v>43188</v>
      </c>
    </row>
    <row r="173">
      <c r="A173" t="str">
        <v>Banque assurance</v>
      </c>
      <c r="B173" t="str">
        <v>Commercialiser des solutions assurbanque - banque au quotidien et crédits immobiliers</v>
      </c>
      <c r="C173" t="str">
        <v>DEMOS</v>
      </c>
      <c r="D173" t="str">
        <f>HYPERLINK("https://inventaire.cncp.gouv.fr/fiches/2911/","2911")</f>
        <v>2911</v>
      </c>
      <c r="E173" t="str">
        <f>HYPERLINK("http://www.intercariforef.org/formations/certification-100201.html","100201")</f>
        <v>100201</v>
      </c>
      <c r="F173" s="1">
        <v>43154</v>
      </c>
      <c r="G173" s="1">
        <v>43154</v>
      </c>
    </row>
    <row r="174" ht="26.2" customHeight="1">
      <c r="A174" t="str">
        <v>Banque assurance</v>
      </c>
      <c r="B174" t="str">
        <v>Concevoir et mettre en oeuvre le système de contrôle des délégataires de gestion dans l'assurance</v>
      </c>
      <c r="C174" t="str">
        <v>École supérieure d'assurances</v>
      </c>
      <c r="D174" t="str">
        <f>HYPERLINK("https://inventaire.cncp.gouv.fr/fiches/3879/","3879")</f>
        <v>3879</v>
      </c>
      <c r="E174" t="str">
        <f>HYPERLINK("http://www.intercariforef.org/formations/certification-103941.html","103941")</f>
        <v>103941</v>
      </c>
      <c r="F174" s="1">
        <v>43390</v>
      </c>
      <c r="G174" s="1">
        <v>43390</v>
      </c>
    </row>
    <row r="175">
      <c r="A175" t="str">
        <v>Banque assurance</v>
      </c>
      <c r="B175" t="str">
        <v>Conseil en investissement et patrimoine - Approfondissement</v>
      </c>
      <c r="C175" t="str">
        <v>Bärchen Education</v>
      </c>
      <c r="D175" t="str">
        <f>HYPERLINK("https://inventaire.cncp.gouv.fr/fiches/2564/","2564")</f>
        <v>2564</v>
      </c>
      <c r="E175" t="str">
        <f>HYPERLINK("http://www.intercariforef.org/formations/certification-94907.html","94907")</f>
        <v>94907</v>
      </c>
      <c r="F175" s="1">
        <v>42836</v>
      </c>
      <c r="G175" s="1">
        <v>42836</v>
      </c>
    </row>
    <row r="176">
      <c r="A176" t="str">
        <v>Banque assurance</v>
      </c>
      <c r="B176" t="str">
        <v>Conseil en investissement et patrimoine - Expertise</v>
      </c>
      <c r="C176" t="str">
        <v>Bärchen Education</v>
      </c>
      <c r="D176" t="str">
        <f>HYPERLINK("https://inventaire.cncp.gouv.fr/fiches/2577/","2577")</f>
        <v>2577</v>
      </c>
      <c r="E176" t="str">
        <f>HYPERLINK("http://www.intercariforef.org/formations/certification-94903.html","94903")</f>
        <v>94903</v>
      </c>
      <c r="F176" s="1">
        <v>42836</v>
      </c>
      <c r="G176" s="1">
        <v>42836</v>
      </c>
    </row>
    <row r="177">
      <c r="A177" t="str">
        <v>Banque assurance</v>
      </c>
      <c r="B177" t="str">
        <v>Conseiller la clientèle en matière de placements courants</v>
      </c>
      <c r="C177" t="str">
        <v>CPNE de la banque</v>
      </c>
      <c r="D177" t="str">
        <f>HYPERLINK("https://inventaire.cncp.gouv.fr/fiches/2402/","2402")</f>
        <v>2402</v>
      </c>
      <c r="E177" t="str">
        <f>HYPERLINK("http://www.intercariforef.org/formations/certification-92311.html","92311")</f>
        <v>92311</v>
      </c>
      <c r="F177" s="1">
        <v>42670</v>
      </c>
      <c r="G177" s="1">
        <v>42670</v>
      </c>
    </row>
    <row r="178">
      <c r="A178" t="str">
        <v>Banque assurance</v>
      </c>
      <c r="B178" t="str">
        <v>Conseiller vos clients Personnes Protégées</v>
      </c>
      <c r="C178" t="str">
        <v>Bärchen Education</v>
      </c>
      <c r="D178" t="str">
        <f>HYPERLINK("https://inventaire.cncp.gouv.fr/fiches/3597/","3597")</f>
        <v>3597</v>
      </c>
      <c r="E178" t="str">
        <f>HYPERLINK("http://www.intercariforef.org/formations/certification-102627.html","102627")</f>
        <v>102627</v>
      </c>
      <c r="F178" s="1">
        <v>43299</v>
      </c>
      <c r="G178" s="1">
        <v>43299</v>
      </c>
    </row>
    <row r="179">
      <c r="A179" t="str">
        <v>Banque assurance</v>
      </c>
      <c r="B179" t="str">
        <v>Contrôle permanent de la conformité et des risques au sein d'une institution financière</v>
      </c>
      <c r="C179" t="str">
        <v>Centre d'affaires Emergence</v>
      </c>
      <c r="D179" t="str">
        <f>HYPERLINK("https://inventaire.cncp.gouv.fr/fiches/2384/","2384")</f>
        <v>2384</v>
      </c>
      <c r="E179" t="str">
        <f>HYPERLINK("http://www.intercariforef.org/formations/certification-98381.html","98381")</f>
        <v>98381</v>
      </c>
      <c r="F179" s="1">
        <v>43027</v>
      </c>
      <c r="G179" s="1">
        <v>43027</v>
      </c>
    </row>
    <row r="180">
      <c r="A180" t="str">
        <v>Banque assurance</v>
      </c>
      <c r="B180" t="str">
        <v>CSTB Compétences Expert Construction</v>
      </c>
      <c r="C180" t="str">
        <v>Certivéa</v>
      </c>
      <c r="D180" t="str">
        <f>HYPERLINK("https://inventaire.cncp.gouv.fr/fiches/1825/","1825")</f>
        <v>1825</v>
      </c>
      <c r="E180" t="str">
        <f>HYPERLINK("http://www.intercariforef.org/formations/certification-88499.html","88499")</f>
        <v>88499</v>
      </c>
      <c r="F180" s="1">
        <v>42465</v>
      </c>
      <c r="G180" s="1">
        <v>42465</v>
      </c>
    </row>
    <row r="181">
      <c r="A181" t="str">
        <v>Banque assurance</v>
      </c>
      <c r="B181" t="str">
        <v>Détecter et prévenir les risques de la relation client</v>
      </c>
      <c r="C181" t="str">
        <v>CPNE de la banque</v>
      </c>
      <c r="D181" t="str">
        <f>HYPERLINK("https://inventaire.cncp.gouv.fr/fiches/2394/","2394")</f>
        <v>2394</v>
      </c>
      <c r="E181" t="str">
        <f>HYPERLINK("http://www.intercariforef.org/formations/certification-94155.html","94155")</f>
        <v>94155</v>
      </c>
      <c r="F181" s="1">
        <v>42772</v>
      </c>
      <c r="G181" s="1">
        <v>42772</v>
      </c>
    </row>
    <row r="182">
      <c r="A182" t="str">
        <v>Banque assurance</v>
      </c>
      <c r="B182" t="str">
        <v>Détecter les besoins des clients et proposer des solutions bancaires adaptées aux projets clients</v>
      </c>
      <c r="C182" t="str">
        <v>CPNE de la banque</v>
      </c>
      <c r="D182" t="str">
        <f>HYPERLINK("https://inventaire.cncp.gouv.fr/fiches/3024/","3024")</f>
        <v>3024</v>
      </c>
      <c r="E182" t="str">
        <f>HYPERLINK("http://www.intercariforef.org/formations/certification-98529.html","98529")</f>
        <v>98529</v>
      </c>
      <c r="F182" s="1">
        <v>43033</v>
      </c>
      <c r="G182" s="1">
        <v>43033</v>
      </c>
    </row>
    <row r="183">
      <c r="A183" t="str">
        <v>Banque assurance</v>
      </c>
      <c r="B183" t="str">
        <v>DU responsable mutualiste</v>
      </c>
      <c r="C183" t="str">
        <v>Université Panthéon Sorbonne - Paris 1</v>
      </c>
      <c r="D183" t="str">
        <f>HYPERLINK("https://inventaire.cncp.gouv.fr/fiches/2881/","2881")</f>
        <v>2881</v>
      </c>
      <c r="E183" t="str">
        <f>HYPERLINK("http://www.intercariforef.org/formations/certification-98655.html","98655")</f>
        <v>98655</v>
      </c>
      <c r="F183" s="1">
        <v>43039</v>
      </c>
      <c r="G183" s="1">
        <v>43039</v>
      </c>
    </row>
    <row r="184">
      <c r="A184" t="str">
        <v>Banque assurance</v>
      </c>
      <c r="B184" t="str">
        <v>Enjeux stratégiques et éthiques du Big Data dans l'assurance</v>
      </c>
      <c r="C184" t="str">
        <v>Ecole Polytechnique d'Assurances</v>
      </c>
      <c r="D184" t="str">
        <f>HYPERLINK("https://inventaire.cncp.gouv.fr/fiches/3332/","3332")</f>
        <v>3332</v>
      </c>
      <c r="E184" t="str">
        <f>HYPERLINK("http://www.intercariforef.org/formations/certification-100177.html","100177")</f>
        <v>100177</v>
      </c>
      <c r="F184" s="1">
        <v>43154</v>
      </c>
      <c r="G184" s="1">
        <v>43154</v>
      </c>
    </row>
    <row r="185">
      <c r="A185" t="str">
        <v>Banque assurance</v>
      </c>
      <c r="B185" t="str">
        <v>Entreprendre et développer une activité de courtage dans l'assurance</v>
      </c>
      <c r="C185" t="str">
        <v>École supérieure d'assurances</v>
      </c>
      <c r="D185" t="str">
        <f>HYPERLINK("https://inventaire.cncp.gouv.fr/fiches/3390/","3390")</f>
        <v>3390</v>
      </c>
      <c r="E185" t="str">
        <f>HYPERLINK("http://www.intercariforef.org/formations/certification-100021.html","100021")</f>
        <v>100021</v>
      </c>
      <c r="F185" s="1">
        <v>43151</v>
      </c>
      <c r="G185" s="1">
        <v>43151</v>
      </c>
    </row>
    <row r="186">
      <c r="A186" t="str">
        <v>Banque assurance</v>
      </c>
      <c r="B186" t="str">
        <v>European financial planner</v>
      </c>
      <c r="C186" t="str">
        <v>Association de certification aux métiers du conseil et de la gestion de patrimoine - EFPA France</v>
      </c>
      <c r="D186" t="str">
        <f>HYPERLINK("https://inventaire.cncp.gouv.fr/fiches/2784/","2784")</f>
        <v>2784</v>
      </c>
      <c r="E186" t="str">
        <f>HYPERLINK("http://www.intercariforef.org/formations/certification-95635.html","95635")</f>
        <v>95635</v>
      </c>
      <c r="F186" s="1">
        <v>42893</v>
      </c>
      <c r="G186" s="1">
        <v>42893</v>
      </c>
    </row>
    <row r="187" ht="26.2" customHeight="1">
      <c r="A187" t="str">
        <v>Banque assurance</v>
      </c>
      <c r="B187" t="str">
        <v>Examen relatif aux connaissances professionnelles minimales des acteurs des marchés financiers certifié par l'autorité des marché financiers (AMF)</v>
      </c>
      <c r="C187" t="str">
        <v>Autorité des marchés financiers (AMF)</v>
      </c>
      <c r="D187" t="str">
        <f>HYPERLINK("https://inventaire.cncp.gouv.fr/fiches/1451/","1451")</f>
        <v>1451</v>
      </c>
      <c r="E187" t="str">
        <f>HYPERLINK("http://www.intercariforef.org/formations/certification-81431.html","81431")</f>
        <v>81431</v>
      </c>
      <c r="F187" s="1">
        <v>41463</v>
      </c>
      <c r="G187" s="1">
        <v>42429</v>
      </c>
    </row>
    <row r="188">
      <c r="A188" t="str">
        <v>Banque assurance</v>
      </c>
      <c r="B188" t="str">
        <v>Fondamentaux de l'assurance</v>
      </c>
      <c r="C188" t="str">
        <v>Institut de formation de la profession de l'assurance (IFPASS)</v>
      </c>
      <c r="D188" t="str">
        <f>HYPERLINK("https://inventaire.cncp.gouv.fr/fiches/2988/","2988")</f>
        <v>2988</v>
      </c>
      <c r="E188" t="str">
        <f>HYPERLINK("http://www.intercariforef.org/formations/certification-101491.html","101491")</f>
        <v>101491</v>
      </c>
      <c r="F188" s="1">
        <v>43265</v>
      </c>
      <c r="G188" s="1">
        <v>43265</v>
      </c>
    </row>
    <row r="189">
      <c r="A189" t="str">
        <v>Banque assurance</v>
      </c>
      <c r="B189" t="str">
        <v>Gérer et indemniser les sinistres standards et conventionnels / Dommages auto</v>
      </c>
      <c r="C189" t="str">
        <v>AF2A</v>
      </c>
      <c r="D189" t="str">
        <f>HYPERLINK("https://inventaire.cncp.gouv.fr/fiches/3317/","3317")</f>
        <v>3317</v>
      </c>
      <c r="E189" t="str">
        <f>HYPERLINK("http://www.intercariforef.org/formations/certification-100077.html","100077")</f>
        <v>100077</v>
      </c>
      <c r="F189" s="1">
        <v>43152</v>
      </c>
      <c r="G189" s="1">
        <v>43152</v>
      </c>
    </row>
    <row r="190">
      <c r="A190" t="str">
        <v>Banque assurance</v>
      </c>
      <c r="B190" t="str">
        <v>Gérer les contrats épargne et prévoyance du particulier</v>
      </c>
      <c r="C190" t="str">
        <v>AF2A</v>
      </c>
      <c r="D190" t="str">
        <f>HYPERLINK("https://inventaire.cncp.gouv.fr/fiches/3319/","3319")</f>
        <v>3319</v>
      </c>
      <c r="E190" t="str">
        <f>HYPERLINK("http://www.intercariforef.org/formations/certification-100073.html","100073")</f>
        <v>100073</v>
      </c>
      <c r="F190" s="1">
        <v>43152</v>
      </c>
      <c r="G190" s="1">
        <v>43152</v>
      </c>
    </row>
    <row r="191">
      <c r="A191" t="str">
        <v>Banque assurance</v>
      </c>
      <c r="B191" t="str">
        <v>Gérer les prestations maladie, retraite et prévoyance / TNS, TPE, PME</v>
      </c>
      <c r="C191" t="str">
        <v>AF2A</v>
      </c>
      <c r="D191" t="str">
        <f>HYPERLINK("https://inventaire.cncp.gouv.fr/fiches/3318/","3318")</f>
        <v>3318</v>
      </c>
      <c r="E191" t="str">
        <f>HYPERLINK("http://www.intercariforef.org/formations/certification-100075.html","100075")</f>
        <v>100075</v>
      </c>
      <c r="F191" s="1">
        <v>43152</v>
      </c>
      <c r="G191" s="1">
        <v>43152</v>
      </c>
    </row>
    <row r="192">
      <c r="A192" t="str">
        <v>Banque assurance</v>
      </c>
      <c r="B192" t="str">
        <v>Gérer les sinistres d'entreprise - risques standards</v>
      </c>
      <c r="C192" t="str">
        <v>Institut de formation de la profession de l'assurance (IFPASS)</v>
      </c>
      <c r="D192" t="str">
        <f>HYPERLINK("https://inventaire.cncp.gouv.fr/fiches/2997/","2997")</f>
        <v>2997</v>
      </c>
      <c r="E192" t="str">
        <f>HYPERLINK("http://www.intercariforef.org/formations/certification-101475.html","101475")</f>
        <v>101475</v>
      </c>
      <c r="F192" s="1">
        <v>43265</v>
      </c>
      <c r="G192" s="1">
        <v>43265</v>
      </c>
    </row>
    <row r="193">
      <c r="A193" t="str">
        <v>Banque assurance</v>
      </c>
      <c r="B193" t="str">
        <v>Gérer un sinistre dégâts des eaux et incendie dans un immeuble</v>
      </c>
      <c r="C193" t="str">
        <v>École supérieure d'assurances</v>
      </c>
      <c r="D193" t="str">
        <f>HYPERLINK("https://inventaire.cncp.gouv.fr/fiches/3882/","3882")</f>
        <v>3882</v>
      </c>
      <c r="E193" t="str">
        <f>HYPERLINK("http://www.intercariforef.org/formations/certification-103937.html","103937")</f>
        <v>103937</v>
      </c>
      <c r="F193" s="1">
        <v>43390</v>
      </c>
      <c r="G193" s="1">
        <v>43390</v>
      </c>
    </row>
    <row r="194">
      <c r="A194" t="str">
        <v>Banque assurance</v>
      </c>
      <c r="B194" t="str">
        <v>Gestion patrimoniale pour les personnes en situation de tutelle ou de curatelle</v>
      </c>
      <c r="C194" t="str">
        <v>École supérieure d'assurances</v>
      </c>
      <c r="D194" t="str">
        <f>HYPERLINK("https://inventaire.cncp.gouv.fr/fiches/3884/","3884")</f>
        <v>3884</v>
      </c>
      <c r="E194" t="str">
        <f>HYPERLINK("http://www.intercariforef.org/formations/certification-103935.html","103935")</f>
        <v>103935</v>
      </c>
      <c r="F194" s="1">
        <v>43390</v>
      </c>
      <c r="G194" s="1">
        <v>43390</v>
      </c>
    </row>
    <row r="195" ht="26.2" customHeight="1">
      <c r="A195" t="str">
        <v>Banque assurance</v>
      </c>
      <c r="B195" t="str">
        <v>Intégrer les différentes dimensions de la relation client dans la banque - Certificat Intégration Mobilité Bancaire 3</v>
      </c>
      <c r="C195" t="str">
        <v>Centre de formation de la profession bancaire (CFPB)</v>
      </c>
      <c r="D195" t="str">
        <f>HYPERLINK("https://inventaire.cncp.gouv.fr/fiches/3664/","3664")</f>
        <v>3664</v>
      </c>
      <c r="E195" t="str">
        <f>HYPERLINK("http://www.intercariforef.org/formations/certification-102689.html","102689")</f>
        <v>102689</v>
      </c>
      <c r="F195" s="1">
        <v>43301</v>
      </c>
      <c r="G195" s="1">
        <v>43301</v>
      </c>
    </row>
    <row r="196" ht="26.2" customHeight="1">
      <c r="A196" t="str">
        <v>Banque assurance</v>
      </c>
      <c r="B196" t="str">
        <v>KYC, les obligations relatives à la connaissance du client : le dispositif et sa déclinaison sur le terrain</v>
      </c>
      <c r="C196" t="str">
        <v>Centre d'affaires Emergence</v>
      </c>
      <c r="D196" t="str">
        <f>HYPERLINK("https://inventaire.cncp.gouv.fr/fiches/2517/","2517")</f>
        <v>2517</v>
      </c>
      <c r="E196" t="str">
        <f>HYPERLINK("http://www.intercariforef.org/formations/certification-96881.html","96881")</f>
        <v>96881</v>
      </c>
      <c r="F196" s="1">
        <v>42937</v>
      </c>
      <c r="G196" s="1">
        <v>42937</v>
      </c>
    </row>
    <row r="197">
      <c r="A197" t="str">
        <v>Banque assurance</v>
      </c>
      <c r="B197" t="str">
        <v>La gestion des risques dans les collectivités territoriales</v>
      </c>
      <c r="C197" t="str">
        <v>École supérieure d'assurances</v>
      </c>
      <c r="D197" t="str">
        <f>HYPERLINK("https://inventaire.cncp.gouv.fr/fiches/2785/","2785")</f>
        <v>2785</v>
      </c>
      <c r="E197" t="str">
        <f>HYPERLINK("http://www.intercariforef.org/formations/certification-95633.html","95633")</f>
        <v>95633</v>
      </c>
      <c r="F197" s="1">
        <v>42893</v>
      </c>
      <c r="G197" s="1">
        <v>42893</v>
      </c>
    </row>
    <row r="198">
      <c r="A198" t="str">
        <v>Banque assurance</v>
      </c>
      <c r="B198" t="str">
        <v>La gestion des risques des professionnels dans une agence générale d'assurance</v>
      </c>
      <c r="C198" t="str">
        <v>CPNE du personnel des agents généraux d'assurance</v>
      </c>
      <c r="D198" t="str">
        <f>HYPERLINK("https://inventaire.cncp.gouv.fr/fiches/3124/","3124")</f>
        <v>3124</v>
      </c>
      <c r="E198" t="str">
        <f>HYPERLINK("http://www.intercariforef.org/formations/certification-98517.html","98517")</f>
        <v>98517</v>
      </c>
      <c r="F198" s="1">
        <v>43033</v>
      </c>
      <c r="G198" s="1">
        <v>43033</v>
      </c>
    </row>
    <row r="199">
      <c r="A199" t="str">
        <v>Banque assurance</v>
      </c>
      <c r="B199" t="str">
        <v>Le développement commercial dans une agence générale d'assurance</v>
      </c>
      <c r="C199" t="str">
        <v>CPNE du personnel des agents généraux d'assurance</v>
      </c>
      <c r="D199" t="str">
        <f>HYPERLINK("https://inventaire.cncp.gouv.fr/fiches/3119/","3119")</f>
        <v>3119</v>
      </c>
      <c r="E199" t="str">
        <f>HYPERLINK("http://www.intercariforef.org/formations/certification-98519.html","98519")</f>
        <v>98519</v>
      </c>
      <c r="F199" s="1">
        <v>43033</v>
      </c>
      <c r="G199" s="1">
        <v>43033</v>
      </c>
    </row>
    <row r="200">
      <c r="A200" t="str">
        <v>Banque assurance</v>
      </c>
      <c r="B200" t="str">
        <v>Le traitement de l'Assurance-crédit</v>
      </c>
      <c r="C200" t="str">
        <v>École supérieure d'assurances</v>
      </c>
      <c r="D200" t="str">
        <f>HYPERLINK("https://inventaire.cncp.gouv.fr/fiches/2789/","2789")</f>
        <v>2789</v>
      </c>
      <c r="E200" t="str">
        <f>HYPERLINK("http://www.intercariforef.org/formations/certification-95627.html","95627")</f>
        <v>95627</v>
      </c>
      <c r="F200" s="1">
        <v>42893</v>
      </c>
      <c r="G200" s="1">
        <v>42893</v>
      </c>
    </row>
    <row r="201" ht="26.2" customHeight="1">
      <c r="A201" t="str">
        <v>Banque assurance</v>
      </c>
      <c r="B201" t="str">
        <v>Livret de formation IOBSP - Niveau I - capacité professionnelle des intermédiaires en opérations de banques et services de paiement (IOBSP)</v>
      </c>
      <c r="C201" t="str">
        <v>Registre unique des intermédiaires en assurance, banque et finance</v>
      </c>
      <c r="D201" t="str">
        <f>HYPERLINK("https://inventaire.cncp.gouv.fr/fiches/1023/","1023")</f>
        <v>1023</v>
      </c>
      <c r="E201" t="str">
        <f>HYPERLINK("http://www.intercariforef.org/formations/certification-85003.html","85003")</f>
        <v>85003</v>
      </c>
      <c r="F201" s="1">
        <v>42184</v>
      </c>
      <c r="G201" s="1">
        <v>42184</v>
      </c>
    </row>
    <row r="202" ht="26.2" customHeight="1">
      <c r="A202" t="str">
        <v>Banque assurance</v>
      </c>
      <c r="B202" t="str">
        <v>Livret de formation IOBSP - Niveau II - capacité professionnelle des intermédiaires en opérations de banques et services de paiement (IOBSP)</v>
      </c>
      <c r="C202" t="str">
        <v>Registre unique des intermédiaires en assurance, banque et finance</v>
      </c>
      <c r="D202" t="str">
        <f>HYPERLINK("https://inventaire.cncp.gouv.fr/fiches/1030/","1030")</f>
        <v>1030</v>
      </c>
      <c r="E202" t="str">
        <f>HYPERLINK("http://www.intercariforef.org/formations/certification-85004.html","85004")</f>
        <v>85004</v>
      </c>
      <c r="F202" s="1">
        <v>42184</v>
      </c>
      <c r="G202" s="1">
        <v>42184</v>
      </c>
    </row>
    <row r="203">
      <c r="A203" t="str">
        <v>Banque assurance</v>
      </c>
      <c r="B203" t="str">
        <v>Lutte contre le blanchiment de capitaux et le financement du terrorisme (LCB/FT)</v>
      </c>
      <c r="C203" t="str">
        <v>Centre de formation de la profession bancaire (CFPB)</v>
      </c>
      <c r="D203" t="str">
        <f>HYPERLINK("https://inventaire.cncp.gouv.fr/fiches/2512/","2512")</f>
        <v>2512</v>
      </c>
      <c r="E203" t="str">
        <f>HYPERLINK("http://www.intercariforef.org/formations/certification-93783.html","93783")</f>
        <v>93783</v>
      </c>
      <c r="F203" s="1">
        <v>42725</v>
      </c>
      <c r="G203" s="1">
        <v>42979</v>
      </c>
    </row>
    <row r="204">
      <c r="A204" t="str">
        <v>Banque assurance</v>
      </c>
      <c r="B204" t="str">
        <v>Maîtriser la comptabilité d'assurances</v>
      </c>
      <c r="C204" t="str">
        <v>Institut de formation de la profession de l'assurance (IFPASS)</v>
      </c>
      <c r="D204" t="str">
        <f>HYPERLINK("https://inventaire.cncp.gouv.fr/fiches/2990/","2990")</f>
        <v>2990</v>
      </c>
      <c r="E204" t="str">
        <f>HYPERLINK("http://www.intercariforef.org/formations/certification-101489.html","101489")</f>
        <v>101489</v>
      </c>
      <c r="F204" s="1">
        <v>43265</v>
      </c>
      <c r="G204" s="1">
        <v>43265</v>
      </c>
    </row>
    <row r="205">
      <c r="A205" t="str">
        <v>Banque assurance</v>
      </c>
      <c r="B205" t="str">
        <v>Maîtriser la gestion des assurances du professionnel</v>
      </c>
      <c r="C205" t="str">
        <v>AF2A</v>
      </c>
      <c r="D205" t="str">
        <f>HYPERLINK("https://inventaire.cncp.gouv.fr/fiches/3322/","3322")</f>
        <v>3322</v>
      </c>
      <c r="E205" t="str">
        <f>HYPERLINK("http://www.intercariforef.org/formations/certification-100053.html","100053")</f>
        <v>100053</v>
      </c>
      <c r="F205" s="1">
        <v>43152</v>
      </c>
      <c r="G205" s="1">
        <v>43152</v>
      </c>
    </row>
    <row r="206">
      <c r="A206" t="str">
        <v>Banque assurance</v>
      </c>
      <c r="B206" t="str">
        <v>Maîtriser la gestion des assurances habitation et auto du particulier</v>
      </c>
      <c r="C206" t="str">
        <v>AF2A</v>
      </c>
      <c r="D206" t="str">
        <f>HYPERLINK("https://inventaire.cncp.gouv.fr/fiches/3320/","3320")</f>
        <v>3320</v>
      </c>
      <c r="E206" t="str">
        <f>HYPERLINK("http://www.intercariforef.org/formations/certification-100055.html","100055")</f>
        <v>100055</v>
      </c>
      <c r="F206" s="1">
        <v>43152</v>
      </c>
      <c r="G206" s="1">
        <v>43152</v>
      </c>
    </row>
    <row r="207">
      <c r="A207" t="str">
        <v>Banque assurance</v>
      </c>
      <c r="B207" t="str">
        <v>Maîtriser les techniques de vente en assurance</v>
      </c>
      <c r="C207" t="str">
        <v>AF2A</v>
      </c>
      <c r="D207" t="str">
        <f>HYPERLINK("https://inventaire.cncp.gouv.fr/fiches/3324/","3324")</f>
        <v>3324</v>
      </c>
      <c r="E207" t="str">
        <f>HYPERLINK("http://www.intercariforef.org/formations/certification-100051.html","100051")</f>
        <v>100051</v>
      </c>
      <c r="F207" s="1">
        <v>43152</v>
      </c>
      <c r="G207" s="1">
        <v>43152</v>
      </c>
    </row>
    <row r="208">
      <c r="A208" t="str">
        <v>Banque assurance</v>
      </c>
      <c r="B208" t="str">
        <v>Mettre en oeuvre un dispositif anti blanchiment LCB/FT dans les établissements financiers</v>
      </c>
      <c r="C208" t="str">
        <v>ERI consulting (ERI institute)</v>
      </c>
      <c r="D208" t="str">
        <f>HYPERLINK("https://inventaire.cncp.gouv.fr/fiches/2735/","2735")</f>
        <v>2735</v>
      </c>
      <c r="E208" t="str">
        <f>HYPERLINK("http://www.intercariforef.org/formations/certification-98667.html","98667")</f>
        <v>98667</v>
      </c>
      <c r="F208" s="1">
        <v>43039</v>
      </c>
      <c r="G208" s="1">
        <v>43039</v>
      </c>
    </row>
    <row r="209">
      <c r="A209" t="str">
        <v>Banque assurance</v>
      </c>
      <c r="B209" t="str">
        <v>Mise en oeuvre d'un contrôle des Prestations de Services Essentielles Externalisées (PSEE)</v>
      </c>
      <c r="C209" t="str">
        <v>ERI consulting (ERI institute)</v>
      </c>
      <c r="D209" t="str">
        <f>HYPERLINK("https://inventaire.cncp.gouv.fr/fiches/2740/","2740")</f>
        <v>2740</v>
      </c>
      <c r="E209" t="str">
        <f>HYPERLINK("http://www.intercariforef.org/formations/certification-98661.html","98661")</f>
        <v>98661</v>
      </c>
      <c r="F209" s="1">
        <v>43039</v>
      </c>
      <c r="G209" s="1">
        <v>43039</v>
      </c>
    </row>
    <row r="210">
      <c r="A210" t="str">
        <v>Banque assurance</v>
      </c>
      <c r="B210" t="str">
        <v>Organiser et piloter contre le risque de fraude dans l'Assurance</v>
      </c>
      <c r="C210" t="str">
        <v>École supérieure d'assurances</v>
      </c>
      <c r="D210" t="str">
        <f>HYPERLINK("https://inventaire.cncp.gouv.fr/fiches/2787/","2787")</f>
        <v>2787</v>
      </c>
      <c r="E210" t="str">
        <f>HYPERLINK("http://www.intercariforef.org/formations/certification-95631.html","95631")</f>
        <v>95631</v>
      </c>
      <c r="F210" s="1">
        <v>42893</v>
      </c>
      <c r="G210" s="1">
        <v>42893</v>
      </c>
    </row>
    <row r="211">
      <c r="A211" t="str">
        <v>Banque assurance</v>
      </c>
      <c r="B211" t="str">
        <v>Pilotage des risques de l'entreprise</v>
      </c>
      <c r="C211" t="str">
        <v>École supérieure d'assurances</v>
      </c>
      <c r="D211" t="str">
        <f>HYPERLINK("https://inventaire.cncp.gouv.fr/fiches/2494/","2494")</f>
        <v>2494</v>
      </c>
      <c r="E211" t="str">
        <f>HYPERLINK("http://www.intercariforef.org/formations/certification-93793.html","93793")</f>
        <v>93793</v>
      </c>
      <c r="F211" s="1">
        <v>42725</v>
      </c>
      <c r="G211" s="1">
        <v>42725</v>
      </c>
    </row>
    <row r="212">
      <c r="A212" t="str">
        <v>Banque assurance</v>
      </c>
      <c r="B212" t="str">
        <v>Prévenir le risque de non-conformité en Assurance</v>
      </c>
      <c r="C212" t="str">
        <v>École supérieure d'assurances</v>
      </c>
      <c r="D212" t="str">
        <f>HYPERLINK("https://inventaire.cncp.gouv.fr/fiches/2509/","2509")</f>
        <v>2509</v>
      </c>
      <c r="E212" t="str">
        <f>HYPERLINK("http://www.intercariforef.org/formations/certification-93787.html","93787")</f>
        <v>93787</v>
      </c>
      <c r="F212" s="1">
        <v>42725</v>
      </c>
      <c r="G212" s="1">
        <v>42725</v>
      </c>
    </row>
    <row r="213">
      <c r="A213" t="str">
        <v>Banque assurance</v>
      </c>
      <c r="B213" t="str">
        <v>Prévenir les risques de la transformation digitale de l'Assurance</v>
      </c>
      <c r="C213" t="str">
        <v>École supérieure d'assurances</v>
      </c>
      <c r="D213" t="str">
        <f>HYPERLINK("https://inventaire.cncp.gouv.fr/fiches/2510/","2510")</f>
        <v>2510</v>
      </c>
      <c r="E213" t="str">
        <f>HYPERLINK("http://www.intercariforef.org/formations/certification-93785.html","93785")</f>
        <v>93785</v>
      </c>
      <c r="F213" s="1">
        <v>42725</v>
      </c>
      <c r="G213" s="1">
        <v>42725</v>
      </c>
    </row>
    <row r="214">
      <c r="A214" t="str">
        <v>Banque assurance</v>
      </c>
      <c r="B214" t="str">
        <v>Protection de la clientèle et conformité</v>
      </c>
      <c r="C214" t="str">
        <v>Institut de formation de la profession de l'assurance (IFPASS)</v>
      </c>
      <c r="D214" t="str">
        <f>HYPERLINK("https://inventaire.cncp.gouv.fr/fiches/2999/","2999")</f>
        <v>2999</v>
      </c>
      <c r="E214" t="str">
        <f>HYPERLINK("http://www.intercariforef.org/formations/certification-101471.html","101471")</f>
        <v>101471</v>
      </c>
      <c r="F214" s="1">
        <v>43265</v>
      </c>
      <c r="G214" s="1">
        <v>43265</v>
      </c>
    </row>
    <row r="215">
      <c r="A215" t="str">
        <v>Banque assurance</v>
      </c>
      <c r="B215" t="str">
        <v>S'approprier les techniques bancaires du particulier - Certificat Intégration Mobilité Bancaire 4</v>
      </c>
      <c r="C215" t="str">
        <v>Centre de formation de la profession bancaire (CFPB)</v>
      </c>
      <c r="D215" t="str">
        <f>HYPERLINK("https://inventaire.cncp.gouv.fr/fiches/3665/","3665")</f>
        <v>3665</v>
      </c>
      <c r="E215" t="str">
        <f>HYPERLINK("http://www.intercariforef.org/formations/certification-102687.html","102687")</f>
        <v>102687</v>
      </c>
      <c r="F215" s="1">
        <v>43301</v>
      </c>
      <c r="G215" s="1">
        <v>43301</v>
      </c>
    </row>
    <row r="216">
      <c r="A216" t="str">
        <v>Banque assurance</v>
      </c>
      <c r="B216" t="str">
        <v>Situer sa contribution dans l'organisation de la banque - Certificat Intégration Mobilité Bancaire 2</v>
      </c>
      <c r="C216" t="str">
        <v>Centre de formation de la profession bancaire (CFPB)</v>
      </c>
      <c r="D216" t="str">
        <f>HYPERLINK("https://inventaire.cncp.gouv.fr/fiches/3589/","3589")</f>
        <v>3589</v>
      </c>
      <c r="E216" t="str">
        <f>HYPERLINK("http://www.intercariforef.org/formations/certification-102701.html","102701")</f>
        <v>102701</v>
      </c>
      <c r="F216" s="1">
        <v>43301</v>
      </c>
      <c r="G216" s="1">
        <v>43301</v>
      </c>
    </row>
    <row r="217">
      <c r="A217" t="str">
        <v>Banque assurance</v>
      </c>
      <c r="B217" t="str">
        <v>Technique d'expertise d'assurance</v>
      </c>
      <c r="C217" t="str">
        <v>La compagnie des experts</v>
      </c>
      <c r="D217" t="str">
        <f>HYPERLINK("https://inventaire.cncp.gouv.fr/fiches/1396/","1396")</f>
        <v>1396</v>
      </c>
      <c r="E217" t="str">
        <f>HYPERLINK("http://www.intercariforef.org/formations/certification-87803.html","87803")</f>
        <v>87803</v>
      </c>
      <c r="F217" s="1">
        <v>42430</v>
      </c>
      <c r="G217" s="1">
        <v>42430</v>
      </c>
    </row>
    <row r="218">
      <c r="A218" t="str">
        <v>Banque assurance</v>
      </c>
      <c r="B218" t="str">
        <v>Techniques actuarielles (DU)</v>
      </c>
      <c r="C218" t="str">
        <v>Sorbonne Université</v>
      </c>
      <c r="D218" t="str">
        <f>HYPERLINK("https://inventaire.cncp.gouv.fr/fiches/3513/","3513")</f>
        <v>3513</v>
      </c>
      <c r="E218" t="str">
        <f>HYPERLINK("http://www.intercariforef.org/formations/certification-101171.html","101171")</f>
        <v>101171</v>
      </c>
      <c r="F218" s="1">
        <v>43250</v>
      </c>
      <c r="G218" s="1">
        <v>43250</v>
      </c>
    </row>
    <row r="219">
      <c r="A219" t="str">
        <v>Banque assurance</v>
      </c>
      <c r="B219" t="str">
        <v>Travailler dans un environnement bancaire - Certificat Intégration Mobilité Bancaire 1</v>
      </c>
      <c r="C219" t="str">
        <v>Centre de formation de la profession bancaire (CFPB)</v>
      </c>
      <c r="D219" t="str">
        <f>HYPERLINK("https://inventaire.cncp.gouv.fr/fiches/3662/","3662")</f>
        <v>3662</v>
      </c>
      <c r="E219" t="str">
        <f>HYPERLINK("http://www.intercariforef.org/formations/certification-102691.html","102691")</f>
        <v>102691</v>
      </c>
      <c r="F219" s="1">
        <v>43301</v>
      </c>
      <c r="G219" s="1">
        <v>43301</v>
      </c>
    </row>
    <row r="220">
      <c r="A220" t="str">
        <v>Banque assurance</v>
      </c>
      <c r="B220" t="str">
        <v>Tutorat et transmission des compétences</v>
      </c>
      <c r="C220" t="str">
        <v>Institut de formation de la profession de l'assurance (IFPASS)</v>
      </c>
      <c r="D220" t="str">
        <f>HYPERLINK("https://inventaire.cncp.gouv.fr/fiches/3000/","3000")</f>
        <v>3000</v>
      </c>
      <c r="E220" t="str">
        <f>HYPERLINK("http://www.intercariforef.org/formations/certification-101473.html","101473")</f>
        <v>101473</v>
      </c>
      <c r="F220" s="1">
        <v>43265</v>
      </c>
      <c r="G220" s="1">
        <v>43265</v>
      </c>
    </row>
    <row r="221" ht="39.3" customHeight="1">
      <c r="A221" t="str">
        <v>Bâtiment, travaux publics</v>
      </c>
      <c r="B221" t="str">
        <v>Attestation de compétence - formation à la prévention des risques liés à l'amiante des personnels cumulant des fonctions d'encadrement technique et/ou d'encadrement de chantier et/ou d'opérateur - travaux de sous-section 4</v>
      </c>
      <c r="C221" t="str">
        <v>Institut national de recherche et de sécurité</v>
      </c>
      <c r="D221" t="str">
        <f>HYPERLINK("https://inventaire.cncp.gouv.fr/fiches/1538/","1538")</f>
        <v>1538</v>
      </c>
      <c r="E221" t="str">
        <f>HYPERLINK("http://www.intercariforef.org/formations/certification-86380.html","86380")</f>
        <v>86380</v>
      </c>
      <c r="F221" s="1">
        <v>42340</v>
      </c>
      <c r="G221" s="1">
        <v>42340</v>
      </c>
    </row>
    <row r="222" ht="26.2" customHeight="1">
      <c r="A222" t="str">
        <v>Bâtiment, travaux publics</v>
      </c>
      <c r="B222" t="str">
        <v>Attestation de compétence - formation du personnel d'encadrement de chantier à la prévention des risques liés à l'amiante - travaux de sous-section 3</v>
      </c>
      <c r="C222" t="str">
        <v>Institut national de recherche et de sécurité</v>
      </c>
      <c r="D222" t="str">
        <f>HYPERLINK("https://inventaire.cncp.gouv.fr/fiches/1541/","1541")</f>
        <v>1541</v>
      </c>
      <c r="E222" t="str">
        <f>HYPERLINK("http://www.intercariforef.org/formations/certification-86395.html","86395")</f>
        <v>86395</v>
      </c>
      <c r="F222" s="1">
        <v>42340</v>
      </c>
      <c r="G222" s="1">
        <v>42340</v>
      </c>
    </row>
    <row r="223" ht="26.2" customHeight="1">
      <c r="A223" t="str">
        <v>Bâtiment, travaux publics</v>
      </c>
      <c r="B223" t="str">
        <v>Attestation de compétence - formation du personnel d'encadrement de chantier à la prévention des risques liés à l'amiante - travaux de sous-section 4</v>
      </c>
      <c r="C223" t="str">
        <v>Institut national de recherche et de sécurité</v>
      </c>
      <c r="D223" t="str">
        <f>HYPERLINK("https://inventaire.cncp.gouv.fr/fiches/1531/","1531")</f>
        <v>1531</v>
      </c>
      <c r="E223" t="str">
        <f>HYPERLINK("http://www.intercariforef.org/formations/certification-86392.html","86392")</f>
        <v>86392</v>
      </c>
      <c r="F223" s="1">
        <v>42340</v>
      </c>
      <c r="G223" s="1">
        <v>42340</v>
      </c>
    </row>
    <row r="224" ht="26.2" customHeight="1">
      <c r="A224" t="str">
        <v>Bâtiment, travaux publics</v>
      </c>
      <c r="B224" t="str">
        <v>Attestation de compétence - formation du personnel d'encadrement technique à la prévention des risques liés à l'amiante - travaux de sous-section 3</v>
      </c>
      <c r="C224" t="str">
        <v>Institut national de recherche et de sécurité</v>
      </c>
      <c r="D224" t="str">
        <f>HYPERLINK("https://inventaire.cncp.gouv.fr/fiches/1412/","1412")</f>
        <v>1412</v>
      </c>
      <c r="E224" t="str">
        <f>HYPERLINK("http://www.intercariforef.org/formations/certification-86394.html","86394")</f>
        <v>86394</v>
      </c>
      <c r="F224" s="1">
        <v>42340</v>
      </c>
      <c r="G224" s="1">
        <v>42340</v>
      </c>
    </row>
    <row r="225" ht="26.2" customHeight="1">
      <c r="A225" t="str">
        <v>Bâtiment, travaux publics</v>
      </c>
      <c r="B225" t="str">
        <v>Attestation de compétence - formation du personnel d'encadrement technique à la prévention des risques liés à l'amiante - travaux de sous-section 4</v>
      </c>
      <c r="C225" t="str">
        <v>Institut national de recherche et de sécurité</v>
      </c>
      <c r="D225" t="str">
        <f>HYPERLINK("https://inventaire.cncp.gouv.fr/fiches/1414/","1414")</f>
        <v>1414</v>
      </c>
      <c r="E225" t="str">
        <f>HYPERLINK("http://www.intercariforef.org/formations/certification-86397.html","86397")</f>
        <v>86397</v>
      </c>
      <c r="F225" s="1">
        <v>42340</v>
      </c>
      <c r="G225" s="1">
        <v>42340</v>
      </c>
    </row>
    <row r="226" ht="26.2" customHeight="1">
      <c r="A226" t="str">
        <v>Bâtiment, travaux publics</v>
      </c>
      <c r="B226" t="str">
        <v>Attestation de compétence - formation du personnel opérateur de chantier à la prévention des risques liés à l'amiante - travaux de sous-section 3</v>
      </c>
      <c r="C226" t="str">
        <v>Institut national de recherche et de sécurité</v>
      </c>
      <c r="D226" t="str">
        <f>HYPERLINK("https://inventaire.cncp.gouv.fr/fiches/1557/","1557")</f>
        <v>1557</v>
      </c>
      <c r="E226" t="str">
        <f>HYPERLINK("http://www.intercariforef.org/formations/certification-86396.html","86396")</f>
        <v>86396</v>
      </c>
      <c r="F226" s="1">
        <v>42340</v>
      </c>
      <c r="G226" s="1">
        <v>42340</v>
      </c>
    </row>
    <row r="227" ht="26.2" customHeight="1">
      <c r="A227" t="str">
        <v>Bâtiment, travaux publics</v>
      </c>
      <c r="B227" t="str">
        <v>Attestation de compétence - formation du personnel opérateur de chantier à la prévention des risques liés à l'amiante - travaux de sous-section 4</v>
      </c>
      <c r="C227" t="str">
        <v>Institut national de recherche et de sécurité</v>
      </c>
      <c r="D227" t="str">
        <f>HYPERLINK("https://inventaire.cncp.gouv.fr/fiches/1535/","1535")</f>
        <v>1535</v>
      </c>
      <c r="E227" t="str">
        <f>HYPERLINK("http://www.intercariforef.org/formations/certification-86393.html","86393")</f>
        <v>86393</v>
      </c>
      <c r="F227" s="1">
        <v>42340</v>
      </c>
      <c r="G227" s="1">
        <v>42340</v>
      </c>
    </row>
    <row r="228">
      <c r="A228" t="str">
        <v>Bâtiment, travaux publics</v>
      </c>
      <c r="B228" t="str">
        <v>Auditeur interne énergie bâtiments</v>
      </c>
      <c r="C228" t="str">
        <v>AFNOR</v>
      </c>
      <c r="D228" t="str">
        <f>HYPERLINK("https://inventaire.cncp.gouv.fr/fiches/912/","912")</f>
        <v>912</v>
      </c>
      <c r="E228" t="str">
        <f>HYPERLINK("http://www.intercariforef.org/formations/certification-84993.html","84993")</f>
        <v>84993</v>
      </c>
      <c r="F228" s="1">
        <v>42184</v>
      </c>
      <c r="G228" s="1">
        <v>42184</v>
      </c>
    </row>
    <row r="229">
      <c r="A229" t="str">
        <v>Bâtiment, travaux publics</v>
      </c>
      <c r="B229" t="str">
        <v>Autodesk Revit Architecture (ACU certification officielle éditeur)</v>
      </c>
      <c r="C229" t="str">
        <v>Autodesk</v>
      </c>
      <c r="D229" t="str">
        <f>HYPERLINK("https://inventaire.cncp.gouv.fr/fiches/1228/","1228")</f>
        <v>1228</v>
      </c>
      <c r="E229" t="str">
        <f>HYPERLINK("http://www.intercariforef.org/formations/certification-86414.html","86414")</f>
        <v>86414</v>
      </c>
      <c r="F229" s="1">
        <v>42341</v>
      </c>
      <c r="G229" s="1">
        <v>42516</v>
      </c>
    </row>
    <row r="230">
      <c r="A230" t="str">
        <v>Bâtiment, travaux publics</v>
      </c>
      <c r="B230" t="str">
        <v>CEPH - Concepteur Européen Bâtiment Passif</v>
      </c>
      <c r="C230" t="str">
        <v>Passiv Haus Institut</v>
      </c>
      <c r="D230" t="str">
        <f>HYPERLINK("https://inventaire.cncp.gouv.fr/fiches/1688/","1688")</f>
        <v>1688</v>
      </c>
      <c r="E230" t="str">
        <f>HYPERLINK("http://www.intercariforef.org/formations/certification-88493.html","88493")</f>
        <v>88493</v>
      </c>
      <c r="F230" s="1">
        <v>42465</v>
      </c>
      <c r="G230" s="1">
        <v>42465</v>
      </c>
    </row>
    <row r="231">
      <c r="A231" t="str">
        <v>Bâtiment, travaux publics</v>
      </c>
      <c r="B231" t="str">
        <v>Certificat d'Acquis Professionnels « Expertise Bâtiments »</v>
      </c>
      <c r="C231" t="str">
        <v>AFNOR</v>
      </c>
      <c r="D231" t="str">
        <f>HYPERLINK("https://inventaire.cncp.gouv.fr/fiches/2737/","2737")</f>
        <v>2737</v>
      </c>
      <c r="E231" t="str">
        <f>HYPERLINK("http://www.intercariforef.org/formations/certification-95675.html","95675")</f>
        <v>95675</v>
      </c>
      <c r="F231" s="1">
        <v>42894</v>
      </c>
      <c r="G231" s="1">
        <v>43152</v>
      </c>
    </row>
    <row r="232">
      <c r="A232" t="str">
        <v>Bâtiment, travaux publics</v>
      </c>
      <c r="B232" t="str">
        <v>Certificat d'Acquis Professionnels « Intégrateur Smart Building »</v>
      </c>
      <c r="C232" t="str">
        <v>AFNOR</v>
      </c>
      <c r="D232" t="str">
        <f>HYPERLINK("https://inventaire.cncp.gouv.fr/fiches/2736/","2736")</f>
        <v>2736</v>
      </c>
      <c r="E232" t="str">
        <f>HYPERLINK("http://www.intercariforef.org/formations/certification-95677.html","95677")</f>
        <v>95677</v>
      </c>
      <c r="F232" s="1">
        <v>42894</v>
      </c>
      <c r="G232" s="1">
        <v>43152</v>
      </c>
    </row>
    <row r="233">
      <c r="A233" t="str">
        <v>Bâtiment, travaux publics</v>
      </c>
      <c r="B233" t="str">
        <v>Certificat d'Acquis Professionnels « Management de projet BIM : conception - construction »</v>
      </c>
      <c r="C233" t="str">
        <v>AFNOR</v>
      </c>
      <c r="D233" t="str">
        <f>HYPERLINK("https://inventaire.cncp.gouv.fr/fiches/2670/","2670")</f>
        <v>2670</v>
      </c>
      <c r="E233" t="str">
        <f>HYPERLINK("http://www.intercariforef.org/formations/certification-94981.html","94981")</f>
        <v>94981</v>
      </c>
      <c r="F233" s="1">
        <v>42838</v>
      </c>
      <c r="G233" s="1">
        <v>43152</v>
      </c>
    </row>
    <row r="234">
      <c r="A234" t="str">
        <v>Bâtiment, travaux publics</v>
      </c>
      <c r="B234" t="str">
        <v>Certificat d'Acquis Professionnels « Management de projet BIM : gestion de patrimoine »</v>
      </c>
      <c r="C234" t="str">
        <v>AFNOR</v>
      </c>
      <c r="D234" t="str">
        <f>HYPERLINK("https://inventaire.cncp.gouv.fr/fiches/2671/","2671")</f>
        <v>2671</v>
      </c>
      <c r="E234" t="str">
        <f>HYPERLINK("http://www.intercariforef.org/formations/certification-94979.html","94979")</f>
        <v>94979</v>
      </c>
      <c r="F234" s="1">
        <v>42838</v>
      </c>
      <c r="G234" s="1">
        <v>43152</v>
      </c>
    </row>
    <row r="235">
      <c r="A235" t="str">
        <v>Bâtiment, travaux publics</v>
      </c>
      <c r="B235" t="str">
        <v>Certificat de compétence en dessin technique collaboratif du Bâtiment à travers l'outil Revit</v>
      </c>
      <c r="C235" t="str">
        <v>Formaltic</v>
      </c>
      <c r="D235" t="str">
        <f>HYPERLINK("https://inventaire.cncp.gouv.fr/fiches/2661/","2661")</f>
        <v>2661</v>
      </c>
      <c r="E235" t="str">
        <f>HYPERLINK("http://www.intercariforef.org/formations/certification-104061.html","104061")</f>
        <v>104061</v>
      </c>
      <c r="F235" s="1">
        <v>43395</v>
      </c>
      <c r="G235" s="1">
        <v>43395</v>
      </c>
    </row>
    <row r="236">
      <c r="A236" t="str">
        <v>Bâtiment, travaux publics</v>
      </c>
      <c r="B236" t="str">
        <v>Certificat de surveillant Catec®</v>
      </c>
      <c r="C236" t="str">
        <v>Caisse Nationale de l'Assurance Maladie des Travailleurs (CNAMTS)</v>
      </c>
      <c r="D236" t="str">
        <f>HYPERLINK("https://inventaire.cncp.gouv.fr/fiches/1733/","1733")</f>
        <v>1733</v>
      </c>
      <c r="E236" t="str">
        <f>HYPERLINK("http://www.intercariforef.org/formations/certification-88109.html","88109")</f>
        <v>88109</v>
      </c>
      <c r="F236" s="1">
        <v>42445</v>
      </c>
      <c r="G236" s="1">
        <v>42979</v>
      </c>
    </row>
    <row r="237">
      <c r="A237" t="str">
        <v>Bâtiment, travaux publics</v>
      </c>
      <c r="B237" t="str">
        <v>Certificat d'intervenant Catec®</v>
      </c>
      <c r="C237" t="str">
        <v>Caisse Nationale de l'Assurance Maladie des Travailleurs (CNAMTS)</v>
      </c>
      <c r="D237" t="str">
        <f>HYPERLINK("https://inventaire.cncp.gouv.fr/fiches/1731/","1731")</f>
        <v>1731</v>
      </c>
      <c r="E237" t="str">
        <f>HYPERLINK("http://www.intercariforef.org/formations/certification-88111.html","88111")</f>
        <v>88111</v>
      </c>
      <c r="F237" s="1">
        <v>42445</v>
      </c>
      <c r="G237" s="1">
        <v>42979</v>
      </c>
    </row>
    <row r="238">
      <c r="A238" t="str">
        <v>Bâtiment, travaux publics</v>
      </c>
      <c r="B238" t="str">
        <v>Certificat Pilotage d'un projet BIM</v>
      </c>
      <c r="C238" t="str">
        <v>Ecole nationale des ponts et chaussées</v>
      </c>
      <c r="D238" t="str">
        <f>HYPERLINK("https://inventaire.cncp.gouv.fr/fiches/3315/","3315")</f>
        <v>3315</v>
      </c>
      <c r="E238" t="str">
        <f>HYPERLINK("http://www.intercariforef.org/formations/certification-100081.html","100081")</f>
        <v>100081</v>
      </c>
      <c r="F238" s="1">
        <v>43152</v>
      </c>
      <c r="G238" s="1">
        <v>43152</v>
      </c>
    </row>
    <row r="239">
      <c r="A239" t="str">
        <v>Bâtiment, travaux publics</v>
      </c>
      <c r="B239" t="str">
        <v>Certification conception et dimensionnement d'un éclairage en technologie LED</v>
      </c>
      <c r="C239" t="str">
        <v>Lumière Consulting</v>
      </c>
      <c r="D239" t="str">
        <f>HYPERLINK("https://inventaire.cncp.gouv.fr/fiches/2029/","2029")</f>
        <v>2029</v>
      </c>
      <c r="E239" t="str">
        <f>HYPERLINK("http://www.intercariforef.org/formations/certification-90555.html","90555")</f>
        <v>90555</v>
      </c>
      <c r="F239" s="1">
        <v>42615</v>
      </c>
      <c r="G239" s="1">
        <v>42615</v>
      </c>
    </row>
    <row r="240">
      <c r="A240" t="str">
        <v>Bâtiment, travaux publics</v>
      </c>
      <c r="B240" t="str">
        <v>Certification conception, installation et maintenance en éclairage intérieur</v>
      </c>
      <c r="C240" t="str">
        <v>Lumière Consulting</v>
      </c>
      <c r="D240" t="str">
        <f>HYPERLINK("https://inventaire.cncp.gouv.fr/fiches/2027/","2027")</f>
        <v>2027</v>
      </c>
      <c r="E240" t="str">
        <f>HYPERLINK("http://www.intercariforef.org/formations/certification-90559.html","90559")</f>
        <v>90559</v>
      </c>
      <c r="F240" s="1">
        <v>42615</v>
      </c>
      <c r="G240" s="1">
        <v>42615</v>
      </c>
    </row>
    <row r="241">
      <c r="A241" t="str">
        <v>Bâtiment, travaux publics</v>
      </c>
      <c r="B241" t="str">
        <v>Certification de Compétence d'Ingénieur Professionnel en Génie civil BTP, Bâtiment</v>
      </c>
      <c r="C241" t="str">
        <v>Société Nationale des Ingénieurs Professionnels de France</v>
      </c>
      <c r="D241" t="str">
        <f>HYPERLINK("https://inventaire.cncp.gouv.fr/fiches/2903/","2903")</f>
        <v>2903</v>
      </c>
      <c r="E241" t="str">
        <f>HYPERLINK("http://www.intercariforef.org/formations/certification-98639.html","98639")</f>
        <v>98639</v>
      </c>
      <c r="F241" s="1">
        <v>43038</v>
      </c>
      <c r="G241" s="1">
        <v>43038</v>
      </c>
    </row>
    <row r="242">
      <c r="A242" t="str">
        <v>Bâtiment, travaux publics</v>
      </c>
      <c r="B242" t="str">
        <v>Certification logiciel de calcul d'éclairage DIALUX</v>
      </c>
      <c r="C242" t="str">
        <v>Lumière Consulting</v>
      </c>
      <c r="D242" t="str">
        <f>HYPERLINK("https://inventaire.cncp.gouv.fr/fiches/2028/","2028")</f>
        <v>2028</v>
      </c>
      <c r="E242" t="str">
        <f>HYPERLINK("http://www.intercariforef.org/formations/certification-90557.html","90557")</f>
        <v>90557</v>
      </c>
      <c r="F242" s="1">
        <v>42615</v>
      </c>
      <c r="G242" s="1">
        <v>42615</v>
      </c>
    </row>
    <row r="243">
      <c r="A243" t="str">
        <v>Bâtiment, travaux publics</v>
      </c>
      <c r="B243" t="str">
        <v>Coordonnateur en matière de sécurité et de santé</v>
      </c>
      <c r="C243" t="str">
        <v>Ministère du travail</v>
      </c>
      <c r="D243" t="str">
        <f>HYPERLINK("https://inventaire.cncp.gouv.fr/fiches/1805/","1805")</f>
        <v>1805</v>
      </c>
      <c r="E243" t="str">
        <f>HYPERLINK("http://www.intercariforef.org/formations/certification-83561.html","83561")</f>
        <v>83561</v>
      </c>
      <c r="F243" s="1">
        <v>41964</v>
      </c>
      <c r="G243" s="1">
        <v>43125</v>
      </c>
    </row>
    <row r="244" ht="26.2" customHeight="1">
      <c r="A244" t="str">
        <v>Bâtiment, travaux publics</v>
      </c>
      <c r="B244" t="str">
        <v>Creusement et soutènement en méthode traditionnelle en travaux souterrains</v>
      </c>
      <c r="C244" t="str">
        <v>Association gestionnaire des centres de formation continue de la fédération nationale des travaux publics (AGCFTP)</v>
      </c>
      <c r="D244" t="str">
        <f>HYPERLINK("https://inventaire.cncp.gouv.fr/fiches/3770/","3770")</f>
        <v>3770</v>
      </c>
      <c r="E244" t="str">
        <f>HYPERLINK("http://www.intercariforef.org/formations/certification-102681.html","102681")</f>
        <v>102681</v>
      </c>
      <c r="F244" s="1">
        <v>43301</v>
      </c>
      <c r="G244" s="1">
        <v>43301</v>
      </c>
    </row>
    <row r="245">
      <c r="A245" t="str">
        <v>Bâtiment, travaux publics</v>
      </c>
      <c r="B245" t="str">
        <v>Formation aux techniques de cartouches pyrotechniques catégorie P2</v>
      </c>
      <c r="C245" t="str">
        <v>Ministère de la transition écologique et solidaire</v>
      </c>
      <c r="D245" t="str">
        <f>HYPERLINK("https://inventaire.cncp.gouv.fr/fiches/2313/","2313")</f>
        <v>2313</v>
      </c>
      <c r="E245" t="str">
        <f>HYPERLINK("http://www.intercariforef.org/formations/certification-92951.html","92951")</f>
        <v>92951</v>
      </c>
      <c r="F245" s="1">
        <v>42688</v>
      </c>
      <c r="G245" s="1">
        <v>43111</v>
      </c>
    </row>
    <row r="246">
      <c r="A246" t="str">
        <v>Bâtiment, travaux publics</v>
      </c>
      <c r="B246" t="str">
        <v>Gestion de production : optimiser, expliquer, engager</v>
      </c>
      <c r="C246" t="str">
        <v>Biqualité</v>
      </c>
      <c r="D246" t="str">
        <f>HYPERLINK("https://inventaire.cncp.gouv.fr/fiches/2647/","2647")</f>
        <v>2647</v>
      </c>
      <c r="E246" t="str">
        <f>HYPERLINK("http://www.intercariforef.org/formations/certification-100377.html","100377")</f>
        <v>100377</v>
      </c>
      <c r="F246" s="1">
        <v>43167</v>
      </c>
      <c r="G246" s="1">
        <v>43167</v>
      </c>
    </row>
    <row r="247">
      <c r="A247" t="str">
        <v>Bâtiment, travaux publics</v>
      </c>
      <c r="B247" t="str">
        <v>Intervention à proximité des réseaux</v>
      </c>
      <c r="C247" t="str">
        <v>Ministère de la transition écologique et solidaire</v>
      </c>
      <c r="D247" t="str">
        <f>HYPERLINK("https://inventaire.cncp.gouv.fr/fiches/1282/","1282")</f>
        <v>1282</v>
      </c>
      <c r="E247" t="str">
        <f>HYPERLINK("http://www.intercariforef.org/formations/certification-85567.html","85567")</f>
        <v>85567</v>
      </c>
      <c r="F247" s="1">
        <v>42269</v>
      </c>
      <c r="G247" s="1">
        <v>43111</v>
      </c>
    </row>
    <row r="248">
      <c r="A248" t="str">
        <v>Bâtiment, travaux publics</v>
      </c>
      <c r="B248" t="str">
        <v>La gestion économique, juridique et managériale des chantiers BTP</v>
      </c>
      <c r="C248" t="str">
        <v>Association pour la promotion des entreprises du bâtiment</v>
      </c>
      <c r="D248" t="str">
        <f>HYPERLINK("https://inventaire.cncp.gouv.fr/fiches/2170/","2170")</f>
        <v>2170</v>
      </c>
      <c r="E248" t="str">
        <f>HYPERLINK("http://www.intercariforef.org/formations/certification-102661.html","102661")</f>
        <v>102661</v>
      </c>
      <c r="F248" s="1">
        <v>43300</v>
      </c>
      <c r="G248" s="1">
        <v>43300</v>
      </c>
    </row>
    <row r="249">
      <c r="A249" t="str">
        <v>Bâtiment, travaux publics</v>
      </c>
      <c r="B249" t="str">
        <v>La gestion économique, réglementaire et managériale du chantier pour chef de chantier BTP</v>
      </c>
      <c r="C249" t="str">
        <v>Association pour la promotion des entreprises du bâtiment</v>
      </c>
      <c r="D249" t="str">
        <f>HYPERLINK("https://inventaire.cncp.gouv.fr/fiches/2174/","2174")</f>
        <v>2174</v>
      </c>
      <c r="E249" t="str">
        <f>HYPERLINK("http://www.intercariforef.org/formations/certification-104065.html","104065")</f>
        <v>104065</v>
      </c>
      <c r="F249" s="1">
        <v>43395</v>
      </c>
      <c r="G249" s="1">
        <v>43395</v>
      </c>
    </row>
    <row r="250">
      <c r="A250" t="str">
        <v>Bâtiment, travaux publics</v>
      </c>
      <c r="B250" t="str">
        <v>L'efficacité énergétique active du bâtiment</v>
      </c>
      <c r="C250" t="str">
        <v>Fédération des industries électriques, électroniques et de communication</v>
      </c>
      <c r="D250" t="str">
        <f>HYPERLINK("https://inventaire.cncp.gouv.fr/fiches/1698/","1698")</f>
        <v>1698</v>
      </c>
      <c r="E250" t="str">
        <f>HYPERLINK("http://www.intercariforef.org/formations/certification-87629.html","87629")</f>
        <v>87629</v>
      </c>
      <c r="F250" s="1">
        <v>42415</v>
      </c>
      <c r="G250" s="1">
        <v>42415</v>
      </c>
    </row>
    <row r="251">
      <c r="A251" t="str">
        <v>Bâtiment, travaux publics</v>
      </c>
      <c r="B251" t="str">
        <v>Maîtrise des techniques de conception de dessins techniques structurés</v>
      </c>
      <c r="C251" t="str">
        <v>Formalisa</v>
      </c>
      <c r="D251" t="str">
        <f>HYPERLINK("https://inventaire.cncp.gouv.fr/fiches/1897/","1897")</f>
        <v>1897</v>
      </c>
      <c r="E251" t="str">
        <f>HYPERLINK("http://www.intercariforef.org/formations/certification-98373.html","98373")</f>
        <v>98373</v>
      </c>
      <c r="F251" s="1">
        <v>43027</v>
      </c>
      <c r="G251" s="1">
        <v>43027</v>
      </c>
    </row>
    <row r="252">
      <c r="A252" t="str">
        <v>Bâtiment, travaux publics</v>
      </c>
      <c r="B252" t="str">
        <v>Maîtrise des techniques de conception et révision des maquettes numériques BIM</v>
      </c>
      <c r="C252" t="str">
        <v>Formalisa</v>
      </c>
      <c r="D252" t="str">
        <f>HYPERLINK("https://inventaire.cncp.gouv.fr/fiches/1891/","1891")</f>
        <v>1891</v>
      </c>
      <c r="E252" t="str">
        <f>HYPERLINK("http://www.intercariforef.org/formations/certification-98371.html","98371")</f>
        <v>98371</v>
      </c>
      <c r="F252" s="1">
        <v>43027</v>
      </c>
      <c r="G252" s="1">
        <v>43027</v>
      </c>
    </row>
    <row r="253">
      <c r="A253" t="str">
        <v>Bâtiment, travaux publics</v>
      </c>
      <c r="B253" t="str">
        <v>Maîtrise d'ouvrage</v>
      </c>
      <c r="C253" t="str">
        <v>Édition formation entreprise (EFE)</v>
      </c>
      <c r="D253" t="str">
        <f>HYPERLINK("https://inventaire.cncp.gouv.fr/fiches/2837/","2837")</f>
        <v>2837</v>
      </c>
      <c r="E253" t="str">
        <f>HYPERLINK("http://www.intercariforef.org/formations/certification-95597.html","95597")</f>
        <v>95597</v>
      </c>
      <c r="F253" s="1">
        <v>42893</v>
      </c>
      <c r="G253" s="1">
        <v>43392</v>
      </c>
    </row>
    <row r="254">
      <c r="A254" t="str">
        <v>Bâtiment, travaux publics</v>
      </c>
      <c r="B254" t="str">
        <v>Progresser dans ses missions de chef de chantier du BTP</v>
      </c>
      <c r="C254" t="str">
        <v>Biqualité</v>
      </c>
      <c r="D254" t="str">
        <f>HYPERLINK("https://inventaire.cncp.gouv.fr/fiches/2637/","2637")</f>
        <v>2637</v>
      </c>
      <c r="E254" t="str">
        <f>HYPERLINK("http://www.intercariforef.org/formations/certification-100375.html","100375")</f>
        <v>100375</v>
      </c>
      <c r="F254" s="1">
        <v>43167</v>
      </c>
      <c r="G254" s="1">
        <v>43167</v>
      </c>
    </row>
    <row r="255">
      <c r="A255" t="str">
        <v>Bâtiment, travaux publics</v>
      </c>
      <c r="B255" t="str">
        <v>Progresser dans ses missions de chef d'équipe du BTP</v>
      </c>
      <c r="C255" t="str">
        <v>Biqualité</v>
      </c>
      <c r="D255" t="str">
        <f>HYPERLINK("https://inventaire.cncp.gouv.fr/fiches/2630/","2630")</f>
        <v>2630</v>
      </c>
      <c r="E255" t="str">
        <f>HYPERLINK("http://www.intercariforef.org/formations/certification-100373.html","100373")</f>
        <v>100373</v>
      </c>
      <c r="F255" s="1">
        <v>43167</v>
      </c>
      <c r="G255" s="1">
        <v>43167</v>
      </c>
    </row>
    <row r="256">
      <c r="A256" t="str">
        <v>Bâtiment, travaux publics</v>
      </c>
      <c r="B256" t="str">
        <v>Progresser dans ses missions de conducteur de travaux</v>
      </c>
      <c r="C256" t="str">
        <v>Biqualité</v>
      </c>
      <c r="D256" t="str">
        <f>HYPERLINK("https://inventaire.cncp.gouv.fr/fiches/2628/","2628")</f>
        <v>2628</v>
      </c>
      <c r="E256" t="str">
        <f>HYPERLINK("http://www.intercariforef.org/formations/certification-100371.html","100371")</f>
        <v>100371</v>
      </c>
      <c r="F256" s="1">
        <v>43167</v>
      </c>
      <c r="G256" s="1">
        <v>43167</v>
      </c>
    </row>
    <row r="257">
      <c r="A257" t="str">
        <v>Chimie</v>
      </c>
      <c r="B257" t="str">
        <v>Certificat de compétences en développement et formulation galéniques</v>
      </c>
      <c r="C257" t="str">
        <v>Institut des métiers et des technologies des industries pharmaceutiques et cosmétiques (IMT)</v>
      </c>
      <c r="D257" t="str">
        <f>HYPERLINK("https://inventaire.cncp.gouv.fr/fiches/1933/","1933")</f>
        <v>1933</v>
      </c>
      <c r="E257" t="str">
        <f>HYPERLINK("http://www.intercariforef.org/formations/certification-92129.html","92129")</f>
        <v>92129</v>
      </c>
      <c r="F257" s="1">
        <v>42667</v>
      </c>
      <c r="G257" s="1">
        <v>42667</v>
      </c>
    </row>
    <row r="258">
      <c r="A258" t="str">
        <v>Chimie</v>
      </c>
      <c r="B258" t="str">
        <v>Certificat de compétences en développement et techniques analytiques</v>
      </c>
      <c r="C258" t="str">
        <v>Institut des métiers et des technologies des industries pharmaceutiques et cosmétiques (IMT)</v>
      </c>
      <c r="D258" t="str">
        <f>HYPERLINK("https://inventaire.cncp.gouv.fr/fiches/1934/","1934")</f>
        <v>1934</v>
      </c>
      <c r="E258" t="str">
        <f>HYPERLINK("http://www.intercariforef.org/formations/certification-92111.html","92111")</f>
        <v>92111</v>
      </c>
      <c r="F258" s="1">
        <v>42667</v>
      </c>
      <c r="G258" s="1">
        <v>42667</v>
      </c>
    </row>
    <row r="259">
      <c r="A259" t="str">
        <v>Chimie</v>
      </c>
      <c r="B259" t="str">
        <v>Certification aux compétences liées au département médical dans l'industrie pharmaceutique</v>
      </c>
      <c r="C259" t="str">
        <v>Institut de formation industrie de santé (IFIS)</v>
      </c>
      <c r="D259" t="str">
        <f>HYPERLINK("https://inventaire.cncp.gouv.fr/fiches/650/","650")</f>
        <v>650</v>
      </c>
      <c r="E259" t="str">
        <f>HYPERLINK("http://www.intercariforef.org/formations/certification-84872.html","84872")</f>
        <v>84872</v>
      </c>
      <c r="F259" s="1">
        <v>42177</v>
      </c>
      <c r="G259" s="1">
        <v>42177</v>
      </c>
    </row>
    <row r="260">
      <c r="A260" t="str">
        <v>Chimie</v>
      </c>
      <c r="B260" t="str">
        <v>Certification chargé d'affaires technico-réglementaires post AMM dans les industries de santé</v>
      </c>
      <c r="C260" t="str">
        <v>Centre de formation pour l'industrie et la recherche appliquée</v>
      </c>
      <c r="D260" t="str">
        <f>HYPERLINK("https://inventaire.cncp.gouv.fr/fiches/2277/","2277")</f>
        <v>2277</v>
      </c>
      <c r="E260" t="str">
        <f>HYPERLINK("http://www.intercariforef.org/formations/certification-92063.html","92063")</f>
        <v>92063</v>
      </c>
      <c r="F260" s="1">
        <v>42667</v>
      </c>
      <c r="G260" s="1">
        <v>42667</v>
      </c>
    </row>
    <row r="261">
      <c r="A261" t="str">
        <v>Chimie</v>
      </c>
      <c r="B261" t="str">
        <v>Certification chargé de développement analytique dans les industries de santé</v>
      </c>
      <c r="C261" t="str">
        <v>Centre de formation pour l'industrie et la recherche appliquée</v>
      </c>
      <c r="D261" t="str">
        <f>HYPERLINK("https://inventaire.cncp.gouv.fr/fiches/2279/","2279")</f>
        <v>2279</v>
      </c>
      <c r="E261" t="str">
        <f>HYPERLINK("http://www.intercariforef.org/formations/certification-92057.html","92057")</f>
        <v>92057</v>
      </c>
      <c r="F261" s="1">
        <v>42667</v>
      </c>
      <c r="G261" s="1">
        <v>42667</v>
      </c>
    </row>
    <row r="262">
      <c r="A262" t="str">
        <v>Chimie</v>
      </c>
      <c r="B262" t="str">
        <v>Certification chargé de validation et qualification dans les industries de santé</v>
      </c>
      <c r="C262" t="str">
        <v>Centre de formation pour l'industrie et la recherche appliquée</v>
      </c>
      <c r="D262" t="str">
        <f>HYPERLINK("https://inventaire.cncp.gouv.fr/fiches/2278/","2278")</f>
        <v>2278</v>
      </c>
      <c r="E262" t="str">
        <f>HYPERLINK("http://www.intercariforef.org/formations/certification-92061.html","92061")</f>
        <v>92061</v>
      </c>
      <c r="F262" s="1">
        <v>42667</v>
      </c>
      <c r="G262" s="1">
        <v>42667</v>
      </c>
    </row>
    <row r="263">
      <c r="A263" t="str">
        <v>Chimie</v>
      </c>
      <c r="B263" t="str">
        <v>Certification de Compétence d'Ingénieur Professionnel en Chimie</v>
      </c>
      <c r="C263" t="str">
        <v>Société Nationale des Ingénieurs Professionnels de France</v>
      </c>
      <c r="D263" t="str">
        <f>HYPERLINK("https://inventaire.cncp.gouv.fr/fiches/2902/","2902")</f>
        <v>2902</v>
      </c>
      <c r="E263" t="str">
        <f>HYPERLINK("http://www.intercariforef.org/formations/certification-98641.html","98641")</f>
        <v>98641</v>
      </c>
      <c r="F263" s="1">
        <v>43038</v>
      </c>
      <c r="G263" s="1">
        <v>43038</v>
      </c>
    </row>
    <row r="264">
      <c r="A264" t="str">
        <v>Chimie</v>
      </c>
      <c r="B264" t="str">
        <v>Certification en pharmacovigilance dans l'industrie pharmaceutique</v>
      </c>
      <c r="C264" t="str">
        <v>Institut de formation industrie de santé (IFIS)</v>
      </c>
      <c r="D264" t="str">
        <f>HYPERLINK("https://inventaire.cncp.gouv.fr/fiches/639/","639")</f>
        <v>639</v>
      </c>
      <c r="E264" t="str">
        <f>HYPERLINK("http://www.intercariforef.org/formations/certification-84964.html","84964")</f>
        <v>84964</v>
      </c>
      <c r="F264" s="1">
        <v>42178</v>
      </c>
      <c r="G264" s="1">
        <v>42178</v>
      </c>
    </row>
    <row r="265">
      <c r="A265" t="str">
        <v>Chimie</v>
      </c>
      <c r="B265" t="str">
        <v>Certification personne qualifiée sur un site pharmaceutique</v>
      </c>
      <c r="C265" t="str">
        <v>Centre de formation pour l'industrie et la recherche appliquée</v>
      </c>
      <c r="D265" t="str">
        <f>HYPERLINK("https://inventaire.cncp.gouv.fr/fiches/2284/","2284")</f>
        <v>2284</v>
      </c>
      <c r="E265" t="str">
        <f>HYPERLINK("http://www.intercariforef.org/formations/certification-92053.html","92053")</f>
        <v>92053</v>
      </c>
      <c r="F265" s="1">
        <v>42667</v>
      </c>
      <c r="G265" s="1">
        <v>42667</v>
      </c>
    </row>
    <row r="266">
      <c r="A266" t="str">
        <v>Chimie</v>
      </c>
      <c r="B266" t="str">
        <v>Habilitation Certificat de compétences en développement et formulation galéniques</v>
      </c>
      <c r="C266" t="str">
        <v>Groupe IMT - Groupe des métiers et des technologies des produits de santé</v>
      </c>
      <c r="D266" t="str">
        <f>HYPERLINK("https://inventaire.cncp.gouv.fr/fiches/1933/","1933")</f>
        <v>1933</v>
      </c>
      <c r="E266" t="str">
        <f>HYPERLINK("http://www.intercariforef.org/formations/certification-92103.html","92103")</f>
        <v>92103</v>
      </c>
      <c r="F266" s="1">
        <v>42667</v>
      </c>
      <c r="G266" s="1">
        <v>42667</v>
      </c>
    </row>
    <row r="267" ht="26.2" customHeight="1">
      <c r="A267" t="str">
        <v>Chimie</v>
      </c>
      <c r="B267" t="str">
        <v>Management réglementaire des produits pour la protection des personnes et de l'environnement</v>
      </c>
      <c r="C267" t="str">
        <v>Groupement des Industriels de la Chimie pour les Etudes et la Recherche</v>
      </c>
      <c r="D267" t="str">
        <f>HYPERLINK("https://inventaire.cncp.gouv.fr/fiches/3080/","3080")</f>
        <v>3080</v>
      </c>
      <c r="E267" t="str">
        <f>HYPERLINK("http://www.intercariforef.org/formations/certification-98487.html","98487")</f>
        <v>98487</v>
      </c>
      <c r="F267" s="1">
        <v>43032</v>
      </c>
      <c r="G267" s="1">
        <v>43032</v>
      </c>
    </row>
    <row r="268" ht="26.2" customHeight="1">
      <c r="A268" t="str">
        <v>Chimie</v>
      </c>
      <c r="B268" t="str">
        <v>Superviser et piloter le procédé d'électrolyse avec le système de régulation ALPSYS</v>
      </c>
      <c r="C268" t="str">
        <v>Centre de Formation et de Développement Technique en électrolyse de l'aluminium - Institut Paul Héroult</v>
      </c>
      <c r="D268" t="str">
        <f>HYPERLINK("https://inventaire.cncp.gouv.fr/fiches/2451/","2451")</f>
        <v>2451</v>
      </c>
      <c r="E268" t="str">
        <f>HYPERLINK("http://www.intercariforef.org/formations/certification-93823.html","93823")</f>
        <v>93823</v>
      </c>
      <c r="F268" s="1">
        <v>42740</v>
      </c>
      <c r="G268" s="1">
        <v>42740</v>
      </c>
    </row>
    <row r="269">
      <c r="A269" t="str">
        <v>Chimie</v>
      </c>
      <c r="B269" t="str">
        <v>Utilisateur professionnel et distributeur de certains types de produits biocides : certibiocide</v>
      </c>
      <c r="C269" t="str">
        <v>Ministère des solidarités et de la santé</v>
      </c>
      <c r="D269" t="str">
        <f>HYPERLINK("https://inventaire.cncp.gouv.fr/fiches/1310/","1310")</f>
        <v>1310</v>
      </c>
      <c r="E269" t="str">
        <f>HYPERLINK("http://www.intercariforef.org/formations/certification-84155.html","84155")</f>
        <v>84155</v>
      </c>
      <c r="F269" s="1">
        <v>42052</v>
      </c>
      <c r="G269" s="1">
        <v>43125</v>
      </c>
    </row>
    <row r="270">
      <c r="A270" t="str">
        <v>Commerce international</v>
      </c>
      <c r="B270" t="str">
        <v>Certificat de compétences en entreprise (CCE) Gérer les opérations à l'international</v>
      </c>
      <c r="C270" t="str">
        <v>CCI France - Assemblée des chambres françaises de commerce et d'industrie</v>
      </c>
      <c r="D270" t="str">
        <f>HYPERLINK("https://inventaire.cncp.gouv.fr/fiches/3812/","3812")</f>
        <v>3812</v>
      </c>
      <c r="E270" t="str">
        <f>HYPERLINK("http://www.intercariforef.org/formations/certification-102161.html","102161")</f>
        <v>102161</v>
      </c>
      <c r="F270" s="1">
        <v>43293</v>
      </c>
      <c r="G270" s="1">
        <v>43293</v>
      </c>
    </row>
    <row r="271">
      <c r="A271" t="str">
        <v>Commerce international</v>
      </c>
      <c r="B271" t="str">
        <v>Mobiliser les ressources pour développer un marché à l'export</v>
      </c>
      <c r="C271" t="str">
        <v>InnovENT-E</v>
      </c>
      <c r="D271" t="str">
        <f>HYPERLINK("https://inventaire.cncp.gouv.fr/fiches/2515/","2515")</f>
        <v>2515</v>
      </c>
      <c r="E271" t="str">
        <f>HYPERLINK("http://www.intercariforef.org/formations/certification-95245.html","95245")</f>
        <v>95245</v>
      </c>
      <c r="F271" s="1">
        <v>42851</v>
      </c>
      <c r="G271" s="1">
        <v>42851</v>
      </c>
    </row>
    <row r="272">
      <c r="A272" t="str">
        <v>Commercialisation</v>
      </c>
      <c r="B272" t="str">
        <v>Accompagner les équipes de vente au quotidien</v>
      </c>
      <c r="C272" t="str">
        <v>Devop</v>
      </c>
      <c r="D272" t="str">
        <f>HYPERLINK("https://inventaire.cncp.gouv.fr/fiches/3230/","3230")</f>
        <v>3230</v>
      </c>
      <c r="E272" t="str">
        <f>HYPERLINK("http://www.intercariforef.org/formations/certification-101207.html","101207")</f>
        <v>101207</v>
      </c>
      <c r="F272" s="1">
        <v>43251</v>
      </c>
      <c r="G272" s="1">
        <v>43251</v>
      </c>
    </row>
    <row r="273">
      <c r="A273" t="str">
        <v>Commercialisation</v>
      </c>
      <c r="B273" t="str">
        <v>Animer à distance une équipe de managers de point de vente</v>
      </c>
      <c r="C273" t="str">
        <v>RMS Consulting</v>
      </c>
      <c r="D273" t="str">
        <f>HYPERLINK("https://inventaire.cncp.gouv.fr/fiches/3637/","3637")</f>
        <v>3637</v>
      </c>
      <c r="E273" t="str">
        <f>HYPERLINK("http://www.intercariforef.org/formations/certification-102699.html","102699")</f>
        <v>102699</v>
      </c>
      <c r="F273" s="1">
        <v>43301</v>
      </c>
      <c r="G273" s="1">
        <v>43301</v>
      </c>
    </row>
    <row r="274">
      <c r="A274" t="str">
        <v>Commercialisation</v>
      </c>
      <c r="B274" t="str">
        <v>Animer une équipe de vendeurs sur un point de vente</v>
      </c>
      <c r="C274" t="str">
        <v>RMS Consulting</v>
      </c>
      <c r="D274" t="str">
        <f>HYPERLINK("https://inventaire.cncp.gouv.fr/fiches/3646/","3646")</f>
        <v>3646</v>
      </c>
      <c r="E274" t="str">
        <f>HYPERLINK("http://www.intercariforef.org/formations/certification-102431.html","102431")</f>
        <v>102431</v>
      </c>
      <c r="F274" s="1">
        <v>43298</v>
      </c>
      <c r="G274" s="1">
        <v>43298</v>
      </c>
    </row>
    <row r="275" ht="26.2" customHeight="1">
      <c r="A275" t="str">
        <v>Commercialisation</v>
      </c>
      <c r="B275" t="str">
        <v>Certificat de compétence en promotion officinale pour les Attachés à la Promotion du Médicament</v>
      </c>
      <c r="C275" t="str">
        <v>GSA formation</v>
      </c>
      <c r="D275" t="str">
        <f>HYPERLINK("https://inventaire.cncp.gouv.fr/fiches/2176/","2176")</f>
        <v>2176</v>
      </c>
      <c r="E275" t="str">
        <f>HYPERLINK("http://www.intercariforef.org/formations/certification-91899.html","91899")</f>
        <v>91899</v>
      </c>
      <c r="F275" s="1">
        <v>42662</v>
      </c>
      <c r="G275" s="1">
        <v>42662</v>
      </c>
    </row>
    <row r="276">
      <c r="A276" t="str">
        <v>Commercialisation</v>
      </c>
      <c r="B276" t="str">
        <v>Certification de Compétence d'Ingénieur Professionnel en Fonction Commerciale</v>
      </c>
      <c r="C276" t="str">
        <v>Société Nationale des Ingénieurs Professionnels de France</v>
      </c>
      <c r="D276" t="str">
        <f>HYPERLINK("https://inventaire.cncp.gouv.fr/fiches/2905/","2905")</f>
        <v>2905</v>
      </c>
      <c r="E276" t="str">
        <f>HYPERLINK("http://www.intercariforef.org/formations/certification-98635.html","98635")</f>
        <v>98635</v>
      </c>
      <c r="F276" s="1">
        <v>43038</v>
      </c>
      <c r="G276" s="1">
        <v>43038</v>
      </c>
    </row>
    <row r="277" ht="26.2" customHeight="1">
      <c r="A277" t="str">
        <v>Commercialisation</v>
      </c>
      <c r="B277" t="str">
        <v>Certification de compétences et connaissances réglementaires et scientifiques pour les personnes en charge de la promotion de médicaments</v>
      </c>
      <c r="C277" t="str">
        <v>Comité professionnel national de la visite médicale</v>
      </c>
      <c r="D277" t="str">
        <f>HYPERLINK("https://inventaire.cncp.gouv.fr/fiches/1370/","1370")</f>
        <v>1370</v>
      </c>
      <c r="E277" t="str">
        <f>HYPERLINK("http://www.intercariforef.org/formations/certification-86789.html","86789")</f>
        <v>86789</v>
      </c>
      <c r="F277" s="1">
        <v>42381</v>
      </c>
      <c r="G277" s="1">
        <v>42381</v>
      </c>
    </row>
    <row r="278" ht="26.2" customHeight="1">
      <c r="A278" t="str">
        <v>Commercialisation</v>
      </c>
      <c r="B278" t="str">
        <v>Certification de compétences pour les personnes en charge de l'élaboration des solutions proposés aux clients Entreprises</v>
      </c>
      <c r="C278" t="str">
        <v>Global Knowledge</v>
      </c>
      <c r="D278" t="str">
        <f>HYPERLINK("https://inventaire.cncp.gouv.fr/fiches/1342/","1342")</f>
        <v>1342</v>
      </c>
      <c r="E278" t="str">
        <f>HYPERLINK("http://www.intercariforef.org/formations/certification-86498.html","86498")</f>
        <v>86498</v>
      </c>
      <c r="F278" s="1">
        <v>42345</v>
      </c>
      <c r="G278" s="1">
        <v>42718</v>
      </c>
    </row>
    <row r="279">
      <c r="A279" t="str">
        <v>Commercialisation</v>
      </c>
      <c r="B279" t="str">
        <v>Concevoir, animer et faire vivre des formations retail blended</v>
      </c>
      <c r="C279" t="str">
        <v>RMS Consulting</v>
      </c>
      <c r="D279" t="str">
        <f>HYPERLINK("https://inventaire.cncp.gouv.fr/fiches/3653/","3653")</f>
        <v>3653</v>
      </c>
      <c r="E279" t="str">
        <f>HYPERLINK("http://www.intercariforef.org/formations/certification-102693.html","102693")</f>
        <v>102693</v>
      </c>
      <c r="F279" s="1">
        <v>43301</v>
      </c>
      <c r="G279" s="1">
        <v>43301</v>
      </c>
    </row>
    <row r="280">
      <c r="A280" t="str">
        <v>Commercialisation</v>
      </c>
      <c r="B280" t="str">
        <v>Conduire les différentes étapes de la vente</v>
      </c>
      <c r="C280" t="str">
        <v>Com and Gie</v>
      </c>
      <c r="D280" t="str">
        <f>HYPERLINK("https://inventaire.cncp.gouv.fr/fiches/3735/","3735")</f>
        <v>3735</v>
      </c>
      <c r="E280" t="str">
        <f>HYPERLINK("http://www.intercariforef.org/formations/certification-102459.html","102459")</f>
        <v>102459</v>
      </c>
      <c r="F280" s="1">
        <v>43298</v>
      </c>
      <c r="G280" s="1">
        <v>43298</v>
      </c>
    </row>
    <row r="281">
      <c r="A281" t="str">
        <v>Commercialisation</v>
      </c>
      <c r="B281" t="str">
        <v>Conseil en centre relation client</v>
      </c>
      <c r="C281" t="str">
        <v>Communication Structure Perfectionnement (CSP - The Art of Training)</v>
      </c>
      <c r="D281" t="str">
        <f>HYPERLINK("https://inventaire.cncp.gouv.fr/fiches/3530/","3530")</f>
        <v>3530</v>
      </c>
      <c r="E281" t="str">
        <f>HYPERLINK("http://www.intercariforef.org/formations/certification-100681.html","100681")</f>
        <v>100681</v>
      </c>
      <c r="F281" s="1">
        <v>43195</v>
      </c>
      <c r="G281" s="1">
        <v>43195</v>
      </c>
    </row>
    <row r="282">
      <c r="A282" t="str">
        <v>Commercialisation</v>
      </c>
      <c r="B282" t="str">
        <v>Développement de la performance commerciale en « B to B »</v>
      </c>
      <c r="C282" t="str">
        <v>C3 institute</v>
      </c>
      <c r="D282" t="str">
        <f>HYPERLINK("https://inventaire.cncp.gouv.fr/fiches/1743/","1743")</f>
        <v>1743</v>
      </c>
      <c r="E282" t="str">
        <f>HYPERLINK("http://www.intercariforef.org/formations/certification-89295.html","89295")</f>
        <v>89295</v>
      </c>
      <c r="F282" s="1">
        <v>42523</v>
      </c>
      <c r="G282" s="1">
        <v>42979</v>
      </c>
    </row>
    <row r="283">
      <c r="A283" t="str">
        <v>Commercialisation</v>
      </c>
      <c r="B283" t="str">
        <v>Développer la performance d'une équipe de managers de points de vente</v>
      </c>
      <c r="C283" t="str">
        <v>RMS Consulting</v>
      </c>
      <c r="D283" t="str">
        <f>HYPERLINK("https://inventaire.cncp.gouv.fr/fiches/3639/","3639")</f>
        <v>3639</v>
      </c>
      <c r="E283" t="str">
        <f>HYPERLINK("http://www.intercariforef.org/formations/certification-102697.html","102697")</f>
        <v>102697</v>
      </c>
      <c r="F283" s="1">
        <v>43301</v>
      </c>
      <c r="G283" s="1">
        <v>43301</v>
      </c>
    </row>
    <row r="284">
      <c r="A284" t="str">
        <v>Commercialisation</v>
      </c>
      <c r="B284" t="str">
        <v>Développer la performance d'une équipe de vendeurs sur un point de vente</v>
      </c>
      <c r="C284" t="str">
        <v>RMS Consulting</v>
      </c>
      <c r="D284" t="str">
        <f>HYPERLINK("https://inventaire.cncp.gouv.fr/fiches/3647/","3647")</f>
        <v>3647</v>
      </c>
      <c r="E284" t="str">
        <f>HYPERLINK("http://www.intercariforef.org/formations/certification-102695.html","102695")</f>
        <v>102695</v>
      </c>
      <c r="F284" s="1">
        <v>43301</v>
      </c>
      <c r="G284" s="1">
        <v>43301</v>
      </c>
    </row>
    <row r="285">
      <c r="A285" t="str">
        <v>Commercialisation</v>
      </c>
      <c r="B285" t="str">
        <v>Développer les relations et les ventes en magasin</v>
      </c>
      <c r="C285" t="str">
        <v>Inéa Conseil</v>
      </c>
      <c r="D285" t="str">
        <f>HYPERLINK("https://inventaire.cncp.gouv.fr/fiches/3381/","3381")</f>
        <v>3381</v>
      </c>
      <c r="E285" t="str">
        <f>HYPERLINK("http://www.intercariforef.org/formations/certification-100159.html","100159")</f>
        <v>100159</v>
      </c>
      <c r="F285" s="1">
        <v>43154</v>
      </c>
      <c r="G285" s="1">
        <v>43298</v>
      </c>
    </row>
    <row r="286">
      <c r="A286" t="str">
        <v>Commercialisation</v>
      </c>
      <c r="B286" t="str">
        <v>Développer un projet business digital</v>
      </c>
      <c r="C286" t="str">
        <v>Ecole supérieure de management (ESCP Europe)</v>
      </c>
      <c r="D286" t="str">
        <f>HYPERLINK("https://inventaire.cncp.gouv.fr/fiches/3670/","3670")</f>
        <v>3670</v>
      </c>
      <c r="E286" t="str">
        <f>HYPERLINK("http://www.intercariforef.org/formations/certification-102621.html","102621")</f>
        <v>102621</v>
      </c>
      <c r="F286" s="1">
        <v>43299</v>
      </c>
      <c r="G286" s="1">
        <v>43299</v>
      </c>
    </row>
    <row r="287">
      <c r="A287" t="str">
        <v>Commercialisation</v>
      </c>
      <c r="B287" t="str">
        <v>E-commerce</v>
      </c>
      <c r="C287" t="str">
        <v>Institut supérieur du marketing</v>
      </c>
      <c r="D287" t="str">
        <f>HYPERLINK("https://inventaire.cncp.gouv.fr/fiches/2328/","2328")</f>
        <v>2328</v>
      </c>
      <c r="E287" t="str">
        <f>HYPERLINK("http://www.intercariforef.org/formations/certification-94783.html","94783")</f>
        <v>94783</v>
      </c>
      <c r="F287" s="1">
        <v>42835</v>
      </c>
      <c r="G287" s="1">
        <v>42835</v>
      </c>
    </row>
    <row r="288">
      <c r="A288" t="str">
        <v>Commercialisation</v>
      </c>
      <c r="B288" t="str">
        <v>Gestion de l'activité commerciale</v>
      </c>
      <c r="C288" t="str">
        <v>PLJ Développements</v>
      </c>
      <c r="D288" t="str">
        <f>HYPERLINK("https://inventaire.cncp.gouv.fr/fiches/3556/","3556")</f>
        <v>3556</v>
      </c>
      <c r="E288" t="str">
        <f>HYPERLINK("http://www.intercariforef.org/formations/certification-100679.html","100679")</f>
        <v>100679</v>
      </c>
      <c r="F288" s="1">
        <v>43195</v>
      </c>
      <c r="G288" s="1">
        <v>43195</v>
      </c>
    </row>
    <row r="289">
      <c r="A289" t="str">
        <v>Commercialisation</v>
      </c>
      <c r="B289" t="str">
        <v>IBM certified application developer - WebSphere Commerce</v>
      </c>
      <c r="C289" t="str">
        <v>IBM</v>
      </c>
      <c r="D289" t="str">
        <f>HYPERLINK("https://inventaire.cncp.gouv.fr/fiches/1556/","1556")</f>
        <v>1556</v>
      </c>
      <c r="E289" t="str">
        <f>HYPERLINK("http://www.intercariforef.org/formations/certification-86354.html","86354")</f>
        <v>86354</v>
      </c>
      <c r="F289" s="1">
        <v>42340</v>
      </c>
      <c r="G289" s="1">
        <v>42340</v>
      </c>
    </row>
    <row r="290">
      <c r="A290" t="str">
        <v>Commercialisation</v>
      </c>
      <c r="B290" t="str">
        <v>Ingénierie, vente et pilotage d'affaires</v>
      </c>
      <c r="C290" t="str">
        <v>Cegos</v>
      </c>
      <c r="D290" t="str">
        <f>HYPERLINK("https://inventaire.cncp.gouv.fr/fiches/2980/","2980")</f>
        <v>2980</v>
      </c>
      <c r="E290" t="str">
        <f>HYPERLINK("http://www.intercariforef.org/formations/certification-100199.html","100199")</f>
        <v>100199</v>
      </c>
      <c r="F290" s="1">
        <v>43154</v>
      </c>
      <c r="G290" s="1">
        <v>43154</v>
      </c>
    </row>
    <row r="291">
      <c r="A291" t="str">
        <v>Commercialisation</v>
      </c>
      <c r="B291" t="str">
        <v>La négociation commerciale complexe</v>
      </c>
      <c r="C291" t="str">
        <v>Antegos consulting</v>
      </c>
      <c r="D291" t="str">
        <f>HYPERLINK("https://inventaire.cncp.gouv.fr/fiches/3951/","3951")</f>
        <v>3951</v>
      </c>
      <c r="E291" t="str">
        <f>HYPERLINK("http://www.intercariforef.org/formations/certification-104111.html","104111")</f>
        <v>104111</v>
      </c>
      <c r="F291" s="1">
        <v>43398</v>
      </c>
      <c r="G291" s="1">
        <v>43398</v>
      </c>
    </row>
    <row r="292">
      <c r="A292" t="str">
        <v>Commercialisation</v>
      </c>
      <c r="B292" t="str">
        <v>Manager au quotidien</v>
      </c>
      <c r="C292" t="str">
        <v>Devop</v>
      </c>
      <c r="D292" t="str">
        <f>HYPERLINK("https://inventaire.cncp.gouv.fr/fiches/3229/","3229")</f>
        <v>3229</v>
      </c>
      <c r="E292" t="str">
        <f>HYPERLINK("http://www.intercariforef.org/formations/certification-100117.html","100117")</f>
        <v>100117</v>
      </c>
      <c r="F292" s="1">
        <v>43153</v>
      </c>
      <c r="G292" s="1">
        <v>43153</v>
      </c>
    </row>
    <row r="293">
      <c r="A293" t="str">
        <v>Commercialisation</v>
      </c>
      <c r="B293" t="str">
        <v>Mener les étapes clés d'une vente réussie</v>
      </c>
      <c r="C293" t="str">
        <v>Manitude</v>
      </c>
      <c r="D293" t="str">
        <f>HYPERLINK("https://inventaire.cncp.gouv.fr/fiches/3385/","3385")</f>
        <v>3385</v>
      </c>
      <c r="E293" t="str">
        <f>HYPERLINK("http://www.intercariforef.org/formations/certification-100025.html","100025")</f>
        <v>100025</v>
      </c>
      <c r="F293" s="1">
        <v>43151</v>
      </c>
      <c r="G293" s="1">
        <v>43151</v>
      </c>
    </row>
    <row r="294">
      <c r="A294" t="str">
        <v>Commercialisation</v>
      </c>
      <c r="B294" t="str">
        <v>Performance commerciale et relation client</v>
      </c>
      <c r="C294" t="str">
        <v>Inéa Conseil</v>
      </c>
      <c r="D294" t="str">
        <f>HYPERLINK("https://inventaire.cncp.gouv.fr/fiches/3343/","3343")</f>
        <v>3343</v>
      </c>
      <c r="E294" t="str">
        <f>HYPERLINK("http://www.intercariforef.org/formations/certification-102437.html","102437")</f>
        <v>102437</v>
      </c>
      <c r="F294" s="1">
        <v>43298</v>
      </c>
      <c r="G294" s="1">
        <v>43298</v>
      </c>
    </row>
    <row r="295">
      <c r="A295" t="str">
        <v>Commercialisation</v>
      </c>
      <c r="B295" t="str">
        <v>Relation client et vente à distance</v>
      </c>
      <c r="C295" t="str">
        <v>DEMOS</v>
      </c>
      <c r="D295" t="str">
        <f>HYPERLINK("https://inventaire.cncp.gouv.fr/fiches/2524/","2524")</f>
        <v>2524</v>
      </c>
      <c r="E295" t="str">
        <f>HYPERLINK("http://www.intercariforef.org/formations/certification-95299.html","95299")</f>
        <v>95299</v>
      </c>
      <c r="F295" s="1">
        <v>42858</v>
      </c>
      <c r="G295" s="1">
        <v>42858</v>
      </c>
    </row>
    <row r="296">
      <c r="A296" t="str">
        <v>Commercialisation</v>
      </c>
      <c r="B296" t="str">
        <v>Techniques de vente</v>
      </c>
      <c r="C296" t="str">
        <v>Centre européen des examens de la fédération européenne des écoles</v>
      </c>
      <c r="D296" t="str">
        <f>HYPERLINK("https://inventaire.cncp.gouv.fr/fiches/3422/","3422")</f>
        <v>3422</v>
      </c>
      <c r="E296" t="str">
        <f>HYPERLINK("http://www.intercariforef.org/formations/certification-100619.html","100619")</f>
        <v>100619</v>
      </c>
      <c r="F296" s="1">
        <v>43193</v>
      </c>
      <c r="G296" s="1">
        <v>43193</v>
      </c>
    </row>
    <row r="297">
      <c r="A297" t="str">
        <v>Commercialisation</v>
      </c>
      <c r="B297" t="str">
        <v>Vendre une prestation de services RH</v>
      </c>
      <c r="C297" t="str">
        <v>Man'Agir</v>
      </c>
      <c r="D297" t="str">
        <f>HYPERLINK("https://inventaire.cncp.gouv.fr/fiches/2084/","2084")</f>
        <v>2084</v>
      </c>
      <c r="E297" t="str">
        <f>HYPERLINK("http://www.intercariforef.org/formations/certification-89195.html","89195")</f>
        <v>89195</v>
      </c>
      <c r="F297" s="1">
        <v>42521</v>
      </c>
      <c r="G297" s="1">
        <v>42521</v>
      </c>
    </row>
    <row r="298">
      <c r="A298" t="str">
        <v>Commercialisation</v>
      </c>
      <c r="B298" t="str">
        <v>Vente conseil sur la transformation numérique des entreprises</v>
      </c>
      <c r="C298" t="str">
        <v>Euridis Management</v>
      </c>
      <c r="D298" t="str">
        <f>HYPERLINK("https://inventaire.cncp.gouv.fr/fiches/1608/","1608")</f>
        <v>1608</v>
      </c>
      <c r="E298" t="str">
        <f>HYPERLINK("http://www.intercariforef.org/formations/certification-89243.html","89243")</f>
        <v>89243</v>
      </c>
      <c r="F298" s="1">
        <v>42522</v>
      </c>
      <c r="G298" s="1">
        <v>42522</v>
      </c>
    </row>
    <row r="299">
      <c r="A299" t="str">
        <v>Commercialisation</v>
      </c>
      <c r="B299" t="str">
        <v>Vente de solutions numériques à des grands comptes</v>
      </c>
      <c r="C299" t="str">
        <v>Euridis Management</v>
      </c>
      <c r="D299" t="str">
        <f>HYPERLINK("https://inventaire.cncp.gouv.fr/fiches/1603/","1603")</f>
        <v>1603</v>
      </c>
      <c r="E299" t="str">
        <f>HYPERLINK("http://www.intercariforef.org/formations/certification-89241.html","89241")</f>
        <v>89241</v>
      </c>
      <c r="F299" s="1">
        <v>42522</v>
      </c>
      <c r="G299" s="1">
        <v>42522</v>
      </c>
    </row>
    <row r="300">
      <c r="A300" t="str">
        <v>Commercialisation</v>
      </c>
      <c r="B300" t="str">
        <v>Vente et avantage commercial</v>
      </c>
      <c r="C300" t="str">
        <v>Valeat Formation</v>
      </c>
      <c r="D300" t="str">
        <f>HYPERLINK("https://inventaire.cncp.gouv.fr/fiches/2380/","2380")</f>
        <v>2380</v>
      </c>
      <c r="E300" t="str">
        <f>HYPERLINK("http://www.intercariforef.org/formations/certification-94859.html","94859")</f>
        <v>94859</v>
      </c>
      <c r="F300" s="1">
        <v>42836</v>
      </c>
      <c r="G300" s="1">
        <v>43046</v>
      </c>
    </row>
    <row r="301" ht="26.2" customHeight="1">
      <c r="A301" t="str">
        <v>Commercialisation</v>
      </c>
      <c r="B301" t="str">
        <v>Vente et Business Développement</v>
      </c>
      <c r="C301" t="str">
        <v>SKEMA Business school  - Paris, SKEMA Business School - Lille, SKEMA Business School - Sophia Antipolis</v>
      </c>
      <c r="D301" t="str">
        <f>HYPERLINK("https://inventaire.cncp.gouv.fr/fiches/2643/","2643")</f>
        <v>2643</v>
      </c>
      <c r="E301" t="str">
        <f>HYPERLINK("http://www.intercariforef.org/formations/certification-94857.html","94857")</f>
        <v>94857</v>
      </c>
      <c r="F301" s="1">
        <v>42836</v>
      </c>
      <c r="G301" s="1">
        <v>42836</v>
      </c>
    </row>
    <row r="302">
      <c r="A302" t="str">
        <v>Commercialisation</v>
      </c>
      <c r="B302" t="str">
        <v>Vente et développement commercial omnicanal</v>
      </c>
      <c r="C302" t="str">
        <v>Groupe Sciences U - Lyon</v>
      </c>
      <c r="D302" t="str">
        <f>HYPERLINK("https://inventaire.cncp.gouv.fr/fiches/3684/","3684")</f>
        <v>3684</v>
      </c>
      <c r="E302" t="str">
        <f>HYPERLINK("http://www.intercariforef.org/formations/certification-102473.html","102473")</f>
        <v>102473</v>
      </c>
      <c r="F302" s="1">
        <v>43298</v>
      </c>
      <c r="G302" s="1">
        <v>43298</v>
      </c>
    </row>
    <row r="303">
      <c r="A303" t="str">
        <v>Commercialisation</v>
      </c>
      <c r="B303" t="str">
        <v>Vente et négociation</v>
      </c>
      <c r="C303" t="str">
        <v>Cegos</v>
      </c>
      <c r="D303" t="str">
        <f>HYPERLINK("https://inventaire.cncp.gouv.fr/fiches/3002/","3002")</f>
        <v>3002</v>
      </c>
      <c r="E303" t="str">
        <f>HYPERLINK("http://www.intercariforef.org/formations/certification-100197.html","100197")</f>
        <v>100197</v>
      </c>
      <c r="F303" s="1">
        <v>43154</v>
      </c>
      <c r="G303" s="1">
        <v>43154</v>
      </c>
    </row>
    <row r="304">
      <c r="A304" t="str">
        <v>Commercialisation</v>
      </c>
      <c r="B304" t="str">
        <v>Vente et Négociation B to B</v>
      </c>
      <c r="C304" t="str">
        <v>Akor consulting</v>
      </c>
      <c r="D304" t="str">
        <f>HYPERLINK("https://inventaire.cncp.gouv.fr/fiches/2909/","2909")</f>
        <v>2909</v>
      </c>
      <c r="E304" t="str">
        <f>HYPERLINK("http://www.intercariforef.org/formations/certification-96551.html","96551")</f>
        <v>96551</v>
      </c>
      <c r="F304" s="1">
        <v>42928</v>
      </c>
      <c r="G304" s="1">
        <v>42928</v>
      </c>
    </row>
    <row r="305">
      <c r="A305" t="str">
        <v>Développement personnel</v>
      </c>
      <c r="B305" t="str">
        <v>Apprenant Agile - Faire valoir ses capacités à apprendre et à s'adapter</v>
      </c>
      <c r="C305" t="str">
        <v>APapp - Association pour la promotion du label APP</v>
      </c>
      <c r="D305" t="str">
        <f>HYPERLINK("https://inventaire.cncp.gouv.fr/fiches/4162/","4162")</f>
        <v>4162</v>
      </c>
      <c r="E305" t="str">
        <f>HYPERLINK("http://www.intercariforef.org/formations/certification-104079.html","104079")</f>
        <v>104079</v>
      </c>
      <c r="F305" s="1">
        <v>43397</v>
      </c>
      <c r="G305" s="1">
        <v>43397</v>
      </c>
    </row>
    <row r="306">
      <c r="A306" t="str">
        <v>Développement personnel</v>
      </c>
      <c r="B306" t="str">
        <v>Certificat de capacité à la gestion du stress des enseignants et du personnel éducatif</v>
      </c>
      <c r="C306" t="str">
        <v>Centre de formation Elisabeth Breton</v>
      </c>
      <c r="D306" t="str">
        <f>HYPERLINK("https://inventaire.cncp.gouv.fr/fiches/3713/","3713")</f>
        <v>3713</v>
      </c>
      <c r="E306" t="str">
        <f>HYPERLINK("http://www.intercariforef.org/formations/certification-104161.html","104161")</f>
        <v>104161</v>
      </c>
      <c r="F306" s="1">
        <v>43398</v>
      </c>
      <c r="G306" s="1">
        <v>43398</v>
      </c>
    </row>
    <row r="307">
      <c r="A307" t="str">
        <v>Développement personnel</v>
      </c>
      <c r="B307" t="str">
        <v>Certificat de compétences en management des équipes</v>
      </c>
      <c r="C307" t="str">
        <v>Formanova</v>
      </c>
      <c r="D307" t="str">
        <f>HYPERLINK("https://inventaire.cncp.gouv.fr/fiches/2016/","2016")</f>
        <v>2016</v>
      </c>
      <c r="E307" t="str">
        <f>HYPERLINK("http://www.intercariforef.org/formations/certification-90039.html","90039")</f>
        <v>90039</v>
      </c>
      <c r="F307" s="1">
        <v>42558</v>
      </c>
      <c r="G307" s="1">
        <v>42558</v>
      </c>
    </row>
    <row r="308">
      <c r="A308" t="str">
        <v>Développement personnel</v>
      </c>
      <c r="B308" t="str">
        <v>Certificat de compétences en management des équipes</v>
      </c>
      <c r="C308" t="str">
        <v>Manitude</v>
      </c>
      <c r="D308" t="str">
        <f>HYPERLINK("https://inventaire.cncp.gouv.fr/fiches/1797/","1797")</f>
        <v>1797</v>
      </c>
      <c r="E308" t="str">
        <f>HYPERLINK("http://www.intercariforef.org/formations/certification-90025.html","90025")</f>
        <v>90025</v>
      </c>
      <c r="F308" s="1">
        <v>42558</v>
      </c>
      <c r="G308" s="1">
        <v>42558</v>
      </c>
    </row>
    <row r="309">
      <c r="A309" t="str">
        <v>Développement personnel</v>
      </c>
      <c r="B309" t="str">
        <v>Certificat Voltaire</v>
      </c>
      <c r="C309" t="str">
        <v>Woonoz</v>
      </c>
      <c r="D309" t="str">
        <f>HYPERLINK("https://inventaire.cncp.gouv.fr/fiches/27/","27")</f>
        <v>27</v>
      </c>
      <c r="E309" t="str">
        <f>HYPERLINK("http://www.intercariforef.org/formations/certification-84714.html","84714")</f>
        <v>84714</v>
      </c>
      <c r="F309" s="1">
        <v>42156</v>
      </c>
      <c r="G309" s="1">
        <v>42156</v>
      </c>
    </row>
    <row r="310">
      <c r="A310" t="str">
        <v>Développement personnel</v>
      </c>
      <c r="B310" t="str">
        <v>Certification Bescherelle</v>
      </c>
      <c r="C310" t="str">
        <v>Novascrib</v>
      </c>
      <c r="D310" t="str">
        <f>HYPERLINK("https://inventaire.cncp.gouv.fr/fiches/3590/","3590")</f>
        <v>3590</v>
      </c>
      <c r="E310" t="str">
        <f>HYPERLINK("http://www.intercariforef.org/formations/certification-101159.html","101159")</f>
        <v>101159</v>
      </c>
      <c r="F310" s="1">
        <v>43250</v>
      </c>
      <c r="G310" s="1">
        <v>43250</v>
      </c>
    </row>
    <row r="311">
      <c r="A311" t="str">
        <v>Développement personnel</v>
      </c>
      <c r="B311" t="str">
        <v>Certification Bescherelle en Orthographe</v>
      </c>
      <c r="C311" t="str">
        <v>Novascrib</v>
      </c>
      <c r="D311" t="str">
        <f>HYPERLINK("https://inventaire.cncp.gouv.fr/fiches/3591/","3591")</f>
        <v>3591</v>
      </c>
      <c r="E311" t="str">
        <f>HYPERLINK("http://www.intercariforef.org/formations/certification-101157.html","101157")</f>
        <v>101157</v>
      </c>
      <c r="F311" s="1">
        <v>43250</v>
      </c>
      <c r="G311" s="1">
        <v>43250</v>
      </c>
    </row>
    <row r="312">
      <c r="A312" t="str">
        <v>Développement personnel</v>
      </c>
      <c r="B312" t="str">
        <v>Certification de français Frantastique</v>
      </c>
      <c r="C312" t="str">
        <v>A9</v>
      </c>
      <c r="D312" t="str">
        <f>HYPERLINK("https://inventaire.cncp.gouv.fr/fiches/3518/","3518")</f>
        <v>3518</v>
      </c>
      <c r="E312" t="str">
        <f>HYPERLINK("http://www.intercariforef.org/formations/certification-102633.html","102633")</f>
        <v>102633</v>
      </c>
      <c r="F312" s="1">
        <v>43299</v>
      </c>
      <c r="G312" s="1">
        <v>43299</v>
      </c>
    </row>
    <row r="313">
      <c r="A313" t="str">
        <v>Développement personnel</v>
      </c>
      <c r="B313" t="str">
        <v>Certification en Communication interpersonnelle - Process Communication Model®</v>
      </c>
      <c r="C313" t="str">
        <v>Kahler Communication France</v>
      </c>
      <c r="D313" t="str">
        <f>HYPERLINK("https://inventaire.cncp.gouv.fr/fiches/2915/","2915")</f>
        <v>2915</v>
      </c>
      <c r="E313" t="str">
        <f>HYPERLINK("http://www.intercariforef.org/formations/certification-96547.html","96547")</f>
        <v>96547</v>
      </c>
      <c r="F313" s="1">
        <v>42928</v>
      </c>
      <c r="G313" s="1">
        <v>42928</v>
      </c>
    </row>
    <row r="314">
      <c r="A314" t="str">
        <v>Développement personnel</v>
      </c>
      <c r="B314" t="str">
        <v>Certification en Négociation Complexe (PACIFICAT©)</v>
      </c>
      <c r="C314" t="str">
        <v>ADN Group - Certificateur en Négociations complexes</v>
      </c>
      <c r="D314" t="str">
        <f>HYPERLINK("https://inventaire.cncp.gouv.fr/fiches/2983/","2983")</f>
        <v>2983</v>
      </c>
      <c r="E314" t="str">
        <f>HYPERLINK("http://www.intercariforef.org/formations/certification-96505.html","96505")</f>
        <v>96505</v>
      </c>
      <c r="F314" s="1">
        <v>42928</v>
      </c>
      <c r="G314" s="1">
        <v>42928</v>
      </c>
    </row>
    <row r="315">
      <c r="A315" t="str">
        <v>Développement personnel</v>
      </c>
      <c r="B315" t="str">
        <v>Compétences clés visant à lutter contre les situations d'illettrisme</v>
      </c>
      <c r="C315" t="str">
        <v>Commission Paritaire Nationale de l'Application de l'Accord d'AGEFOS PME</v>
      </c>
      <c r="D315" t="str">
        <f>HYPERLINK("https://inventaire.cncp.gouv.fr/fiches/4133/","4133")</f>
        <v>4133</v>
      </c>
      <c r="E315" t="str">
        <f>HYPERLINK("http://www.intercariforef.org/formations/certification-104081.html","104081")</f>
        <v>104081</v>
      </c>
      <c r="F315" s="1">
        <v>43397</v>
      </c>
      <c r="G315" s="1">
        <v>43397</v>
      </c>
    </row>
    <row r="316">
      <c r="A316" t="str">
        <v>Développement personnel</v>
      </c>
      <c r="B316" t="str">
        <v>Conduire un entretien de développement de compétences</v>
      </c>
      <c r="C316" t="str">
        <v>Interactif</v>
      </c>
      <c r="D316" t="str">
        <f>HYPERLINK("https://inventaire.cncp.gouv.fr/fiches/3820/","3820")</f>
        <v>3820</v>
      </c>
      <c r="E316" t="str">
        <f>HYPERLINK("http://www.intercariforef.org/formations/certification-104151.html","104151")</f>
        <v>104151</v>
      </c>
      <c r="F316" s="1">
        <v>43398</v>
      </c>
      <c r="G316" s="1">
        <v>43398</v>
      </c>
    </row>
    <row r="317">
      <c r="A317" t="str">
        <v>Développement personnel</v>
      </c>
      <c r="B317" t="str">
        <v>Conseil en image</v>
      </c>
      <c r="C317" t="str">
        <v>Coach'n look</v>
      </c>
      <c r="D317" t="str">
        <f>HYPERLINK("https://inventaire.cncp.gouv.fr/fiches/3621/","3621")</f>
        <v>3621</v>
      </c>
      <c r="E317" t="str">
        <f>HYPERLINK("http://www.intercariforef.org/formations/certification-101469.html","101469")</f>
        <v>101469</v>
      </c>
      <c r="F317" s="1">
        <v>43265</v>
      </c>
      <c r="G317" s="1">
        <v>43265</v>
      </c>
    </row>
    <row r="318">
      <c r="A318" t="str">
        <v>Développement personnel</v>
      </c>
      <c r="B318" t="str">
        <v>CP FFP animation de groupes en formation professionnelle</v>
      </c>
      <c r="C318" t="str">
        <v>Marijul RH</v>
      </c>
      <c r="D318" t="str">
        <f>HYPERLINK("https://inventaire.cncp.gouv.fr/fiches/1607/","1607")</f>
        <v>1607</v>
      </c>
      <c r="E318" t="str">
        <f>HYPERLINK("http://www.intercariforef.org/formations/certification-88455.html","88455")</f>
        <v>88455</v>
      </c>
      <c r="F318" s="1">
        <v>42464</v>
      </c>
      <c r="G318" s="1">
        <v>42464</v>
      </c>
    </row>
    <row r="319">
      <c r="A319" t="str">
        <v>Développement personnel</v>
      </c>
      <c r="B319" t="str">
        <v>Développement de la performance au travail par la conciliation vie privée vie professionnelle</v>
      </c>
      <c r="C319" t="str">
        <v>AMC Ressources</v>
      </c>
      <c r="D319" t="str">
        <f>HYPERLINK("https://inventaire.cncp.gouv.fr/fiches/1953/","1953")</f>
        <v>1953</v>
      </c>
      <c r="E319" t="str">
        <f>HYPERLINK("http://www.intercariforef.org/formations/certification-90161.html","90161")</f>
        <v>90161</v>
      </c>
      <c r="F319" s="1">
        <v>42562</v>
      </c>
      <c r="G319" s="1">
        <v>42562</v>
      </c>
    </row>
    <row r="320">
      <c r="A320" t="str">
        <v>Développement personnel</v>
      </c>
      <c r="B320" t="str">
        <v>Diplôme de compétence en langue française professionnelle de premier niveau</v>
      </c>
      <c r="C320" t="str">
        <v>Ministère de l'éducation nationale</v>
      </c>
      <c r="D320" t="str">
        <f>HYPERLINK("https://inventaire.cncp.gouv.fr/fiches/585/","585")</f>
        <v>585</v>
      </c>
      <c r="E320" t="str">
        <f>HYPERLINK("http://www.intercariforef.org/formations/certification-68846.html","68846")</f>
        <v>68846</v>
      </c>
      <c r="F320" s="1">
        <v>40309</v>
      </c>
      <c r="G320" s="1">
        <v>42830</v>
      </c>
    </row>
    <row r="321">
      <c r="A321" t="str">
        <v>Développement personnel</v>
      </c>
      <c r="B321" t="str">
        <v>Facilitation collaborative certifiée Innovation Games®</v>
      </c>
      <c r="C321" t="str">
        <v>Creagile</v>
      </c>
      <c r="D321" t="str">
        <f>HYPERLINK("https://inventaire.cncp.gouv.fr/fiches/3557/","3557")</f>
        <v>3557</v>
      </c>
      <c r="E321" t="str">
        <f>HYPERLINK("http://www.intercariforef.org/formations/certification-100673.html","100673")</f>
        <v>100673</v>
      </c>
      <c r="F321" s="1">
        <v>43195</v>
      </c>
      <c r="G321" s="1">
        <v>43195</v>
      </c>
    </row>
    <row r="322">
      <c r="A322" t="str">
        <v>Développement personnel</v>
      </c>
      <c r="B322" t="str">
        <v>Fondamentaux de la négociation</v>
      </c>
      <c r="C322" t="str">
        <v>HEC Paris</v>
      </c>
      <c r="D322" t="str">
        <f>HYPERLINK("https://inventaire.cncp.gouv.fr/fiches/3559/","3559")</f>
        <v>3559</v>
      </c>
      <c r="E322" t="str">
        <f>HYPERLINK("http://www.intercariforef.org/formations/certification-100533.html","100533")</f>
        <v>100533</v>
      </c>
      <c r="F322" s="1">
        <v>43187</v>
      </c>
      <c r="G322" s="1">
        <v>43187</v>
      </c>
    </row>
    <row r="323">
      <c r="A323" t="str">
        <v>Développement personnel</v>
      </c>
      <c r="B323" t="str">
        <v>Gestion de la relation humaine par la communication non-verbale (synergologie)</v>
      </c>
      <c r="C323" t="str">
        <v>Institut européen de synergologie</v>
      </c>
      <c r="D323" t="str">
        <f>HYPERLINK("https://inventaire.cncp.gouv.fr/fiches/2352/","2352")</f>
        <v>2352</v>
      </c>
      <c r="E323" t="str">
        <f>HYPERLINK("http://www.intercariforef.org/formations/certification-96697.html","96697")</f>
        <v>96697</v>
      </c>
      <c r="F323" s="1">
        <v>42933</v>
      </c>
      <c r="G323" s="1">
        <v>42933</v>
      </c>
    </row>
    <row r="324">
      <c r="A324" t="str">
        <v>Développement personnel</v>
      </c>
      <c r="B324" t="str">
        <v>Gestion du stress en entreprise et en milieu professionnel</v>
      </c>
      <c r="C324" t="str">
        <v>Centre de formation Elisabeth Breton</v>
      </c>
      <c r="D324" t="str">
        <f>HYPERLINK("https://inventaire.cncp.gouv.fr/fiches/3876/","3876")</f>
        <v>3876</v>
      </c>
      <c r="E324" t="str">
        <f>HYPERLINK("http://www.intercariforef.org/formations/certification-104131.html","104131")</f>
        <v>104131</v>
      </c>
      <c r="F324" s="1">
        <v>43398</v>
      </c>
      <c r="G324" s="1">
        <v>43398</v>
      </c>
    </row>
    <row r="325">
      <c r="A325" t="str">
        <v>Développement personnel</v>
      </c>
      <c r="B325" t="str">
        <v>Image et posture professionnelles</v>
      </c>
      <c r="C325" t="str">
        <v>Association francophone de l'image et la posture professionnelle</v>
      </c>
      <c r="D325" t="str">
        <f>HYPERLINK("https://inventaire.cncp.gouv.fr/fiches/4027/","4027")</f>
        <v>4027</v>
      </c>
      <c r="E325" t="str">
        <f>HYPERLINK("http://www.intercariforef.org/formations/certification-104093.html","104093")</f>
        <v>104093</v>
      </c>
      <c r="F325" s="1">
        <v>43397</v>
      </c>
      <c r="G325" s="1">
        <v>43397</v>
      </c>
    </row>
    <row r="326">
      <c r="A326" t="str">
        <v>Développement personnel</v>
      </c>
      <c r="B326" t="str">
        <v>Les clés de la gestion de conflit en entreprise</v>
      </c>
      <c r="C326" t="str">
        <v>Servane Boudet Formations Conseils</v>
      </c>
      <c r="D326" t="str">
        <f>HYPERLINK("https://inventaire.cncp.gouv.fr/fiches/3331/","3331")</f>
        <v>3331</v>
      </c>
      <c r="E326" t="str">
        <f>HYPERLINK("http://www.intercariforef.org/formations/certification-100967.html","100967")</f>
        <v>100967</v>
      </c>
      <c r="F326" s="1">
        <v>43236</v>
      </c>
      <c r="G326" s="1">
        <v>43236</v>
      </c>
    </row>
    <row r="327">
      <c r="A327" t="str">
        <v>Développement personnel</v>
      </c>
      <c r="B327" t="str">
        <v>Maîtriser l'art oratoire</v>
      </c>
      <c r="C327" t="str">
        <v>Patrick Minod Consultant</v>
      </c>
      <c r="D327" t="str">
        <f>HYPERLINK("https://inventaire.cncp.gouv.fr/fiches/3482/","3482")</f>
        <v>3482</v>
      </c>
      <c r="E327" t="str">
        <f>HYPERLINK("http://www.intercariforef.org/formations/certification-100683.html","100683")</f>
        <v>100683</v>
      </c>
      <c r="F327" s="1">
        <v>43195</v>
      </c>
      <c r="G327" s="1">
        <v>43195</v>
      </c>
    </row>
    <row r="328">
      <c r="A328" t="str">
        <v>Développement personnel</v>
      </c>
      <c r="B328" t="str">
        <v>Management du changement et de la transformation</v>
      </c>
      <c r="C328" t="str">
        <v>Cegos</v>
      </c>
      <c r="D328" t="str">
        <f>HYPERLINK("https://inventaire.cncp.gouv.fr/fiches/3561/","3561")</f>
        <v>3561</v>
      </c>
      <c r="E328" t="str">
        <f>HYPERLINK("http://www.intercariforef.org/formations/certification-101243.html","101243")</f>
        <v>101243</v>
      </c>
      <c r="F328" s="1">
        <v>43255</v>
      </c>
      <c r="G328" s="1">
        <v>43255</v>
      </c>
    </row>
    <row r="329">
      <c r="A329" t="str">
        <v>Développement personnel</v>
      </c>
      <c r="B329" t="str">
        <v>Management du Leadership au féminin</v>
      </c>
      <c r="C329" t="str">
        <v>Talhency RH</v>
      </c>
      <c r="D329" t="str">
        <f>HYPERLINK("https://inventaire.cncp.gouv.fr/fiches/3234/","3234")</f>
        <v>3234</v>
      </c>
      <c r="E329" t="str">
        <f>HYPERLINK("http://www.intercariforef.org/formations/certification-100115.html","100115")</f>
        <v>100115</v>
      </c>
      <c r="F329" s="1">
        <v>43153</v>
      </c>
      <c r="G329" s="1">
        <v>43153</v>
      </c>
    </row>
    <row r="330">
      <c r="A330" t="str">
        <v>Développement personnel</v>
      </c>
      <c r="B330" t="str">
        <v>Manager et faire collaborer les équipes</v>
      </c>
      <c r="C330" t="str">
        <v>Intelligent Business</v>
      </c>
      <c r="D330" t="str">
        <f>HYPERLINK("https://inventaire.cncp.gouv.fr/fiches/2348/","2348")</f>
        <v>2348</v>
      </c>
      <c r="E330" t="str">
        <f>HYPERLINK("http://www.intercariforef.org/formations/certification-95669.html","95669")</f>
        <v>95669</v>
      </c>
      <c r="F330" s="1">
        <v>42894</v>
      </c>
      <c r="G330" s="1">
        <v>42894</v>
      </c>
    </row>
    <row r="331">
      <c r="A331" t="str">
        <v>Développement personnel</v>
      </c>
      <c r="B331" t="str">
        <v>Mobiliser les compétences numériques fondamentales</v>
      </c>
      <c r="C331" t="str">
        <v>Simplon.co</v>
      </c>
      <c r="D331" t="str">
        <f>HYPERLINK("https://inventaire.cncp.gouv.fr/fiches/3661/","3661")</f>
        <v>3661</v>
      </c>
      <c r="E331" t="str">
        <f>HYPERLINK("http://www.intercariforef.org/formations/certification-102475.html","102475")</f>
        <v>102475</v>
      </c>
      <c r="F331" s="1">
        <v>43298</v>
      </c>
      <c r="G331" s="1">
        <v>43298</v>
      </c>
    </row>
    <row r="332">
      <c r="A332" t="str">
        <v>Développement personnel</v>
      </c>
      <c r="B332" t="str">
        <v>Prendre la parole avec impact et aisance</v>
      </c>
      <c r="C332" t="str">
        <v>Boîte en scène</v>
      </c>
      <c r="D332" t="str">
        <f>HYPERLINK("https://inventaire.cncp.gouv.fr/fiches/3523/","3523")</f>
        <v>3523</v>
      </c>
      <c r="E332" t="str">
        <f>HYPERLINK("http://www.intercariforef.org/formations/certification-100625.html","100625")</f>
        <v>100625</v>
      </c>
      <c r="F332" s="1">
        <v>43193</v>
      </c>
      <c r="G332" s="1">
        <v>43193</v>
      </c>
    </row>
    <row r="333">
      <c r="A333" t="str">
        <v>Développement personnel</v>
      </c>
      <c r="B333" t="str">
        <v>Prévention et gestion du stress du personnel soignant</v>
      </c>
      <c r="C333" t="str">
        <v>Centre de formation Elisabeth Breton</v>
      </c>
      <c r="D333" t="str">
        <f>HYPERLINK("https://inventaire.cncp.gouv.fr/fiches/3946/","3946")</f>
        <v>3946</v>
      </c>
      <c r="E333" t="str">
        <f>HYPERLINK("http://www.intercariforef.org/formations/certification-104115.html","104115")</f>
        <v>104115</v>
      </c>
      <c r="F333" s="1">
        <v>43398</v>
      </c>
      <c r="G333" s="1">
        <v>43398</v>
      </c>
    </row>
    <row r="334">
      <c r="A334" t="str">
        <v>Développement personnel</v>
      </c>
      <c r="B334" t="str">
        <v>Prise de parole par la voix et le souffle</v>
      </c>
      <c r="C334" t="str">
        <v>Association La voix et le souffle</v>
      </c>
      <c r="D334" t="str">
        <f>HYPERLINK("https://inventaire.cncp.gouv.fr/fiches/2427/","2427")</f>
        <v>2427</v>
      </c>
      <c r="E334" t="str">
        <f>HYPERLINK("http://www.intercariforef.org/formations/certification-94819.html","94819")</f>
        <v>94819</v>
      </c>
      <c r="F334" s="1">
        <v>42836</v>
      </c>
      <c r="G334" s="1">
        <v>42836</v>
      </c>
    </row>
    <row r="335">
      <c r="A335" t="str">
        <v>Développement personnel</v>
      </c>
      <c r="B335" t="str">
        <v>Réussir sa mobilité professionnelle</v>
      </c>
      <c r="C335" t="str">
        <v>Valeat Formation</v>
      </c>
      <c r="D335" t="str">
        <f>HYPERLINK("https://inventaire.cncp.gouv.fr/fiches/2153/","2153")</f>
        <v>2153</v>
      </c>
      <c r="E335" t="str">
        <f>HYPERLINK("http://www.intercariforef.org/formations/certification-94081.html","94081")</f>
        <v>94081</v>
      </c>
      <c r="F335" s="1">
        <v>42758</v>
      </c>
      <c r="G335" s="1">
        <v>42758</v>
      </c>
    </row>
    <row r="336">
      <c r="A336" t="str">
        <v>Développement personnel</v>
      </c>
      <c r="B336" t="str">
        <v>S'exprimer avec impact en public</v>
      </c>
      <c r="C336" t="str">
        <v>Valeat Formation</v>
      </c>
      <c r="D336" t="str">
        <f>HYPERLINK("https://inventaire.cncp.gouv.fr/fiches/2159/","2159")</f>
        <v>2159</v>
      </c>
      <c r="E336" t="str">
        <f>HYPERLINK("http://www.intercariforef.org/formations/certification-94079.html","94079")</f>
        <v>94079</v>
      </c>
      <c r="F336" s="1">
        <v>42758</v>
      </c>
      <c r="G336" s="1">
        <v>42758</v>
      </c>
    </row>
    <row r="337">
      <c r="A337" t="str">
        <v>Développement personnel</v>
      </c>
      <c r="B337" t="str">
        <v>Socle de connaissances et de compétences professionnelles (CléA)</v>
      </c>
      <c r="C337" t="str">
        <v>Comité paritaire interprofessionnel national pour l'emploi et la formation</v>
      </c>
      <c r="D337" t="str">
        <f>HYPERLINK("https://inventaire.cncp.gouv.fr/fiches/2203/","2203")</f>
        <v>2203</v>
      </c>
      <c r="E337" t="str">
        <f>HYPERLINK("http://www.intercariforef.org/formations/certification-84482.html","84482")</f>
        <v>84482</v>
      </c>
      <c r="F337" s="1">
        <v>42110</v>
      </c>
      <c r="G337" s="1">
        <v>42979</v>
      </c>
    </row>
    <row r="338">
      <c r="A338" t="str">
        <v>Développement personnel</v>
      </c>
      <c r="B338" t="str">
        <v>Socle de connaissances et de compétences professionnelles numérique (CléA Numérique)</v>
      </c>
      <c r="C338" t="str">
        <v>Comité paritaire interprofessionnel national pour l'emploi et la formation</v>
      </c>
      <c r="D338" t="str">
        <f>HYPERLINK("https://inventaire.cncp.gouv.fr/fiches/3936/","3936")</f>
        <v>3936</v>
      </c>
      <c r="E338" t="str">
        <f>HYPERLINK("http://www.intercariforef.org/formations/certification-103323.html","103323")</f>
        <v>103323</v>
      </c>
      <c r="F338" s="1">
        <v>43356</v>
      </c>
      <c r="G338" s="1">
        <v>43356</v>
      </c>
    </row>
    <row r="339">
      <c r="A339" t="str">
        <v>Développement personnel</v>
      </c>
      <c r="B339" t="str">
        <v>Stratégies de négociation</v>
      </c>
      <c r="C339" t="str">
        <v>HEC Paris</v>
      </c>
      <c r="D339" t="str">
        <f>HYPERLINK("https://inventaire.cncp.gouv.fr/fiches/3560/","3560")</f>
        <v>3560</v>
      </c>
      <c r="E339" t="str">
        <f>HYPERLINK("http://www.intercariforef.org/formations/certification-100531.html","100531")</f>
        <v>100531</v>
      </c>
      <c r="F339" s="1">
        <v>43187</v>
      </c>
      <c r="G339" s="1">
        <v>43187</v>
      </c>
    </row>
    <row r="340">
      <c r="A340" t="str">
        <v>Développement personnel</v>
      </c>
      <c r="B340" t="str">
        <v>Techniques de négociation</v>
      </c>
      <c r="C340" t="str">
        <v>Scotwork - Negotiating Partner</v>
      </c>
      <c r="D340" t="str">
        <f>HYPERLINK("https://inventaire.cncp.gouv.fr/fiches/3952/","3952")</f>
        <v>3952</v>
      </c>
      <c r="E340" t="str">
        <f>HYPERLINK("http://www.intercariforef.org/formations/certification-104103.html","104103")</f>
        <v>104103</v>
      </c>
      <c r="F340" s="1">
        <v>43398</v>
      </c>
      <c r="G340" s="1">
        <v>43398</v>
      </c>
    </row>
    <row r="341">
      <c r="A341" t="str">
        <v>Développement personnel</v>
      </c>
      <c r="B341" t="str">
        <v>Tremplin pour le leadership des femmes</v>
      </c>
      <c r="C341" t="str">
        <v>Alomey</v>
      </c>
      <c r="D341" t="str">
        <f>HYPERLINK("https://inventaire.cncp.gouv.fr/fiches/3857/","3857")</f>
        <v>3857</v>
      </c>
      <c r="E341" t="str">
        <f>HYPERLINK("http://www.intercariforef.org/formations/certification-102073.html","102073")</f>
        <v>102073</v>
      </c>
      <c r="F341" s="1">
        <v>43293</v>
      </c>
      <c r="G341" s="1">
        <v>43293</v>
      </c>
    </row>
    <row r="342" ht="26.2" customHeight="1">
      <c r="A342" t="str">
        <v>Economie</v>
      </c>
      <c r="B342" t="str">
        <v>AGROMANAGER - cycle de perfectionnement pour directeurs et cadres de coopératives agricoles et leurs filiales</v>
      </c>
      <c r="C342" t="str">
        <v>CPNE interbranche de la coopération agricole, Services Coop de France</v>
      </c>
      <c r="D342" t="str">
        <f>HYPERLINK("https://inventaire.cncp.gouv.fr/fiches/1599/","1599")</f>
        <v>1599</v>
      </c>
      <c r="E342" t="str">
        <f>HYPERLINK("http://www.intercariforef.org/formations/certification-87643.html","87643")</f>
        <v>87643</v>
      </c>
      <c r="F342" s="1">
        <v>42415</v>
      </c>
      <c r="G342" s="1">
        <v>42718</v>
      </c>
    </row>
    <row r="343">
      <c r="A343" t="str">
        <v>Electricité, électronique</v>
      </c>
      <c r="B343" t="str">
        <v>Certification de Compétence d'Ingénieur Professionnel en Electricité</v>
      </c>
      <c r="C343" t="str">
        <v>Société Nationale des Ingénieurs Professionnels de France</v>
      </c>
      <c r="D343" t="str">
        <f>HYPERLINK("https://inventaire.cncp.gouv.fr/fiches/2900/","2900")</f>
        <v>2900</v>
      </c>
      <c r="E343" t="str">
        <f>HYPERLINK("http://www.intercariforef.org/formations/certification-98643.html","98643")</f>
        <v>98643</v>
      </c>
      <c r="F343" s="1">
        <v>43038</v>
      </c>
      <c r="G343" s="1">
        <v>43038</v>
      </c>
    </row>
    <row r="344">
      <c r="A344" t="str">
        <v>Electricité, électronique</v>
      </c>
      <c r="B344" t="str">
        <v>Certification de concepteur IPC CID conception des assemblages électroniques</v>
      </c>
      <c r="C344" t="str">
        <v>IPC - Association Connecting Electronics Industries, IFTEC, JETWARE, Microniks Europe</v>
      </c>
      <c r="D344" t="str">
        <f>HYPERLINK("https://inventaire.cncp.gouv.fr/fiches/1439/","1439")</f>
        <v>1439</v>
      </c>
      <c r="E344" t="str">
        <f>HYPERLINK("http://www.intercariforef.org/formations/certification-86391.html","86391")</f>
        <v>86391</v>
      </c>
      <c r="F344" s="1">
        <v>42340</v>
      </c>
      <c r="G344" s="1">
        <v>42340</v>
      </c>
    </row>
    <row r="345">
      <c r="A345" t="str">
        <v>Electricité, électronique</v>
      </c>
      <c r="B345" t="str">
        <v>Certification de Formateur IPC-A-610 (CIT) Acceptabilité des Assemblages Electronique</v>
      </c>
      <c r="C345" t="str">
        <v>IFTEC</v>
      </c>
      <c r="D345" t="str">
        <f>HYPERLINK("https://inventaire.cncp.gouv.fr/fiches/877/","877")</f>
        <v>877</v>
      </c>
      <c r="E345" t="str">
        <f>HYPERLINK("http://www.intercariforef.org/formations/certification-85047.html","85047")</f>
        <v>85047</v>
      </c>
      <c r="F345" s="1">
        <v>42185</v>
      </c>
      <c r="G345" s="1">
        <v>42185</v>
      </c>
    </row>
    <row r="346" ht="26.2" customHeight="1">
      <c r="A346" t="str">
        <v>Electricité, électronique</v>
      </c>
      <c r="B346" t="str">
        <v>Certification de formateur IPC-A-620 CIT acceptabilité pour l'interconnexion des faisceaux de fils et de câbles</v>
      </c>
      <c r="C346" t="str">
        <v>IPC - Association Connecting Electronics Industries, IFTEC, Microniks Europe</v>
      </c>
      <c r="D346" t="str">
        <f>HYPERLINK("https://inventaire.cncp.gouv.fr/fiches/1427/","1427")</f>
        <v>1427</v>
      </c>
      <c r="E346" t="str">
        <f>HYPERLINK("http://www.intercariforef.org/formations/certification-86412.html","86412")</f>
        <v>86412</v>
      </c>
      <c r="F346" s="1">
        <v>42340</v>
      </c>
      <c r="G346" s="1">
        <v>42340</v>
      </c>
    </row>
    <row r="347" ht="39.3" customHeight="1">
      <c r="A347" t="str">
        <v>Electricité, électronique</v>
      </c>
      <c r="B347" t="str">
        <v>Certification de l' ESA en brasage manuel au fer selon la norme ECSS-Q-ST-70-08 de l'ESA (TF-ESA) - brasage manuel au fer pour équipement électronique spatial - module 1: composants traversants et filaires</v>
      </c>
      <c r="C347" t="str">
        <v>Agence spatiale européenne, Institut de soudure</v>
      </c>
      <c r="D347" t="str">
        <f>HYPERLINK("https://inventaire.cncp.gouv.fr/fiches/1533/","1533")</f>
        <v>1533</v>
      </c>
      <c r="E347" t="str">
        <f>HYPERLINK("http://www.intercariforef.org/formations/certification-86408.html","86408")</f>
        <v>86408</v>
      </c>
      <c r="F347" s="1">
        <v>42340</v>
      </c>
      <c r="G347" s="1">
        <v>42340</v>
      </c>
    </row>
    <row r="348" ht="26.2" customHeight="1">
      <c r="A348" t="str">
        <v>Electricité, électronique</v>
      </c>
      <c r="B348" t="str">
        <v>Certification de l' ESA en brasage manuel au fer selon la norme ECSS-Q-ST-70-08 de l'ESA (TF-ESA) - brasage manuel au fer pour équipement électronique spatial - module 2: composants CMS</v>
      </c>
      <c r="C348" t="str">
        <v>Agence spatiale européenne, Institut de soudure</v>
      </c>
      <c r="D348" t="str">
        <f>HYPERLINK("https://inventaire.cncp.gouv.fr/fiches/1537/","1537")</f>
        <v>1537</v>
      </c>
      <c r="E348" t="str">
        <f>HYPERLINK("http://www.intercariforef.org/formations/certification-86409.html","86409")</f>
        <v>86409</v>
      </c>
      <c r="F348" s="1">
        <v>42340</v>
      </c>
      <c r="G348" s="1">
        <v>42340</v>
      </c>
    </row>
    <row r="349" ht="39.3" customHeight="1">
      <c r="A349" t="str">
        <v>Electricité, électronique</v>
      </c>
      <c r="B349" t="str">
        <v>Certification de l' ESA en contrôle visuel des brasures en spatial selon les normes ECSS-Q-ST-70-08 et ECSS-Q-ST-70-38 de l'ESA (CVB-ESA) - contrôle visuel pour équipement électronique spatial - composants traversants, filaires et CMS</v>
      </c>
      <c r="C349" t="str">
        <v>Agence spatiale européenne, Institut de soudure</v>
      </c>
      <c r="D349" t="str">
        <f>HYPERLINK("https://inventaire.cncp.gouv.fr/fiches/1540/","1540")</f>
        <v>1540</v>
      </c>
      <c r="E349" t="str">
        <f>HYPERLINK("http://www.intercariforef.org/formations/certification-86410.html","86410")</f>
        <v>86410</v>
      </c>
      <c r="F349" s="1">
        <v>42340</v>
      </c>
      <c r="G349" s="1">
        <v>42340</v>
      </c>
    </row>
    <row r="350" ht="26.2" customHeight="1">
      <c r="A350" t="str">
        <v>Electricité, électronique</v>
      </c>
      <c r="B350" t="str">
        <v>Certification de l' ESA sertissage en spatial selon la norme ECSS-Q-ST-70-26 de l'ESA (SERT-ESA) - sertissage pour équipement électronique spatial</v>
      </c>
      <c r="C350" t="str">
        <v>Agence spatiale européenne, Institut de soudure</v>
      </c>
      <c r="D350" t="str">
        <f>HYPERLINK("https://inventaire.cncp.gouv.fr/fiches/1539/","1539")</f>
        <v>1539</v>
      </c>
      <c r="E350" t="str">
        <f>HYPERLINK("http://www.intercariforef.org/formations/certification-86411.html","86411")</f>
        <v>86411</v>
      </c>
      <c r="F350" s="1">
        <v>42340</v>
      </c>
      <c r="G350" s="1">
        <v>42340</v>
      </c>
    </row>
    <row r="351" ht="26.2" customHeight="1">
      <c r="A351" t="str">
        <v>Electricité, électronique</v>
      </c>
      <c r="B351" t="str">
        <v>Certification de spécialistes IPC/WHMA-A-620 (CIS) Exigences et critères d'acceptabilité pour l'interconnexion des faisceaux de fils et de câbles</v>
      </c>
      <c r="C351" t="str">
        <v>IFTEC</v>
      </c>
      <c r="D351" t="str">
        <f>HYPERLINK("https://inventaire.cncp.gouv.fr/fiches/543/","543")</f>
        <v>543</v>
      </c>
      <c r="E351" t="str">
        <f>HYPERLINK("http://www.intercariforef.org/formations/certification-85045.html","85045")</f>
        <v>85045</v>
      </c>
      <c r="F351" s="1">
        <v>42185</v>
      </c>
      <c r="G351" s="1">
        <v>42185</v>
      </c>
    </row>
    <row r="352" ht="26.2" customHeight="1">
      <c r="A352" t="str">
        <v>Electricité, électronique</v>
      </c>
      <c r="B352" t="str">
        <v>Certification de spécialistes IPC-7711/7721 (CIS) Reprise, modification et réparation des assemblages électroniques</v>
      </c>
      <c r="C352" t="str">
        <v>IFTEC</v>
      </c>
      <c r="D352" t="str">
        <f>HYPERLINK("https://inventaire.cncp.gouv.fr/fiches/941/","941")</f>
        <v>941</v>
      </c>
      <c r="E352" t="str">
        <f>HYPERLINK("http://www.intercariforef.org/formations/certification-85061.html","85061")</f>
        <v>85061</v>
      </c>
      <c r="F352" s="1">
        <v>42185</v>
      </c>
      <c r="G352" s="1">
        <v>42185</v>
      </c>
    </row>
    <row r="353">
      <c r="A353" t="str">
        <v>Electricité, électronique</v>
      </c>
      <c r="B353" t="str">
        <v>Certification de spécialistes IPC-A-600 (CIS) Acceptabilité des circuits imprimés nus</v>
      </c>
      <c r="C353" t="str">
        <v>IFTEC</v>
      </c>
      <c r="D353" t="str">
        <f>HYPERLINK("https://inventaire.cncp.gouv.fr/fiches/971/","971")</f>
        <v>971</v>
      </c>
      <c r="E353" t="str">
        <f>HYPERLINK("http://www.intercariforef.org/formations/certification-85079.html","85079")</f>
        <v>85079</v>
      </c>
      <c r="F353" s="1">
        <v>42185</v>
      </c>
      <c r="G353" s="1">
        <v>42185</v>
      </c>
    </row>
    <row r="354">
      <c r="A354" t="str">
        <v>Electricité, électronique</v>
      </c>
      <c r="B354" t="str">
        <v>Certification de spécialistes IPC-A-610 (CIS) acceptabilité des assemblages électroniques</v>
      </c>
      <c r="C354" t="str">
        <v>IFTEC</v>
      </c>
      <c r="D354" t="str">
        <f>HYPERLINK("https://inventaire.cncp.gouv.fr/fiches/95/","95")</f>
        <v>95</v>
      </c>
      <c r="E354" t="str">
        <f>HYPERLINK("http://www.intercariforef.org/formations/certification-84526.html","84526")</f>
        <v>84526</v>
      </c>
      <c r="F354" s="1">
        <v>42114</v>
      </c>
      <c r="G354" s="1">
        <v>42114</v>
      </c>
    </row>
    <row r="355" ht="26.2" customHeight="1">
      <c r="A355" t="str">
        <v>Electricité, électronique</v>
      </c>
      <c r="B355" t="str">
        <v>Certification de spécialistes IPC-J-STD-001 (CIS) Exigences des assemblages électriques et électroniques brasés</v>
      </c>
      <c r="C355" t="str">
        <v>IFTEC</v>
      </c>
      <c r="D355" t="str">
        <f>HYPERLINK("https://inventaire.cncp.gouv.fr/fiches/961/","961")</f>
        <v>961</v>
      </c>
      <c r="E355" t="str">
        <f>HYPERLINK("http://www.intercariforef.org/formations/certification-85052.html","85052")</f>
        <v>85052</v>
      </c>
      <c r="F355" s="1">
        <v>42185</v>
      </c>
      <c r="G355" s="1">
        <v>42185</v>
      </c>
    </row>
    <row r="356">
      <c r="A356" t="str">
        <v>Electricité, électronique</v>
      </c>
      <c r="B356" t="str">
        <v>Composants de l'électronique de puissance</v>
      </c>
      <c r="C356" t="str">
        <v>Centrale Supélec</v>
      </c>
      <c r="D356" t="str">
        <f>HYPERLINK("https://inventaire.cncp.gouv.fr/fiches/2887/","2887")</f>
        <v>2887</v>
      </c>
      <c r="E356" t="str">
        <f>HYPERLINK("http://www.intercariforef.org/formations/certification-99247.html","99247")</f>
        <v>99247</v>
      </c>
      <c r="F356" s="1">
        <v>43080</v>
      </c>
      <c r="G356" s="1">
        <v>43080</v>
      </c>
    </row>
    <row r="357">
      <c r="A357" t="str">
        <v>Electricité, électronique</v>
      </c>
      <c r="B357" t="str">
        <v>Électronique de puissance</v>
      </c>
      <c r="C357" t="str">
        <v>Centrale Supélec</v>
      </c>
      <c r="D357" t="str">
        <f>HYPERLINK("https://inventaire.cncp.gouv.fr/fiches/2888/","2888")</f>
        <v>2888</v>
      </c>
      <c r="E357" t="str">
        <f>HYPERLINK("http://www.intercariforef.org/formations/certification-99249.html","99249")</f>
        <v>99249</v>
      </c>
      <c r="F357" s="1">
        <v>43080</v>
      </c>
      <c r="G357" s="1">
        <v>43080</v>
      </c>
    </row>
    <row r="358">
      <c r="A358" t="str">
        <v>Electricité, électronique</v>
      </c>
      <c r="B358" t="str">
        <v>Fondamentaux de l'électronique de puissance</v>
      </c>
      <c r="C358" t="str">
        <v>Centrale Supélec</v>
      </c>
      <c r="D358" t="str">
        <f>HYPERLINK("https://inventaire.cncp.gouv.fr/fiches/2886/","2886")</f>
        <v>2886</v>
      </c>
      <c r="E358" t="str">
        <f>HYPERLINK("http://www.intercariforef.org/formations/certification-99241.html","99241")</f>
        <v>99241</v>
      </c>
      <c r="F358" s="1">
        <v>43080</v>
      </c>
      <c r="G358" s="1">
        <v>43080</v>
      </c>
    </row>
    <row r="359">
      <c r="A359" t="str">
        <v>Electricité, électronique</v>
      </c>
      <c r="B359" t="str">
        <v>Habilitation électrique B0 chargé de travaux d'ordre non électrique, basse tension</v>
      </c>
      <c r="C359" t="str">
        <v>Caisse Nationale de l'Assurance Maladie des Travailleurs (CNAMTS)</v>
      </c>
      <c r="D359" t="str">
        <f>HYPERLINK("https://inventaire.cncp.gouv.fr/fiches/1626/","1626")</f>
        <v>1626</v>
      </c>
      <c r="E359" t="str">
        <f>HYPERLINK("http://www.intercariforef.org/formations/certification-65937.html","65937")</f>
        <v>65937</v>
      </c>
      <c r="F359" s="1">
        <v>40224</v>
      </c>
      <c r="G359" s="1">
        <v>42395</v>
      </c>
    </row>
    <row r="360">
      <c r="A360" t="str">
        <v>Electricité, électronique</v>
      </c>
      <c r="B360" t="str">
        <v>Habilitation électrique B1 exécutant électricien, basse tension</v>
      </c>
      <c r="C360" t="str">
        <v>Caisse Nationale de l'Assurance Maladie des Travailleurs (CNAMTS)</v>
      </c>
      <c r="D360" t="str">
        <f>HYPERLINK("https://inventaire.cncp.gouv.fr/fiches/1627/","1627")</f>
        <v>1627</v>
      </c>
      <c r="E360" t="str">
        <f>HYPERLINK("http://www.intercariforef.org/formations/certification-65940.html","65940")</f>
        <v>65940</v>
      </c>
      <c r="F360" s="1">
        <v>40224</v>
      </c>
      <c r="G360" s="1">
        <v>42395</v>
      </c>
    </row>
    <row r="361" ht="26.2" customHeight="1">
      <c r="A361" t="str">
        <v>Electricité, électronique</v>
      </c>
      <c r="B361" t="str">
        <v>Habilitation électrique B1N exécutant électricien, nettoyage sous tension d'équipement électrique, basse tension</v>
      </c>
      <c r="C361" t="str">
        <v>Caisse Nationale de l'Assurance Maladie des Travailleurs (CNAMTS)</v>
      </c>
      <c r="D361" t="str">
        <f>HYPERLINK("https://inventaire.cncp.gouv.fr/fiches/1665/","1665")</f>
        <v>1665</v>
      </c>
      <c r="E361" t="str">
        <f>HYPERLINK("http://www.intercariforef.org/formations/certification-65954.html","65954")</f>
        <v>65954</v>
      </c>
      <c r="F361" s="1">
        <v>40224</v>
      </c>
      <c r="G361" s="1">
        <v>42396</v>
      </c>
    </row>
    <row r="362">
      <c r="A362" t="str">
        <v>Electricité, électronique</v>
      </c>
      <c r="B362" t="str">
        <v>Habilitation électrique B1T exécutant électricien, travaux sous tension, basse tension</v>
      </c>
      <c r="C362" t="str">
        <v>Caisse Nationale de l'Assurance Maladie des Travailleurs (CNAMTS)</v>
      </c>
      <c r="D362" t="str">
        <f>HYPERLINK("https://inventaire.cncp.gouv.fr/fiches/1664/","1664")</f>
        <v>1664</v>
      </c>
      <c r="E362" t="str">
        <f>HYPERLINK("http://www.intercariforef.org/formations/certification-65950.html","65950")</f>
        <v>65950</v>
      </c>
      <c r="F362" s="1">
        <v>40224</v>
      </c>
      <c r="G362" s="1">
        <v>42396</v>
      </c>
    </row>
    <row r="363">
      <c r="A363" t="str">
        <v>Electricité, électronique</v>
      </c>
      <c r="B363" t="str">
        <v>Habilitation électrique B1V exécutant électricien, travaux au voisinage, basse tension</v>
      </c>
      <c r="C363" t="str">
        <v>Caisse Nationale de l'Assurance Maladie des Travailleurs (CNAMTS)</v>
      </c>
      <c r="D363" t="str">
        <f>HYPERLINK("https://inventaire.cncp.gouv.fr/fiches/1663/","1663")</f>
        <v>1663</v>
      </c>
      <c r="E363" t="str">
        <f>HYPERLINK("http://www.intercariforef.org/formations/certification-65942.html","65942")</f>
        <v>65942</v>
      </c>
      <c r="F363" s="1">
        <v>40224</v>
      </c>
      <c r="G363" s="1">
        <v>42395</v>
      </c>
    </row>
    <row r="364">
      <c r="A364" t="str">
        <v>Electricité, électronique</v>
      </c>
      <c r="B364" t="str">
        <v>Habilitation électrique B2 chargé de travaux électriques, basse tension</v>
      </c>
      <c r="C364" t="str">
        <v>Caisse Nationale de l'Assurance Maladie des Travailleurs (CNAMTS)</v>
      </c>
      <c r="D364" t="str">
        <f>HYPERLINK("https://inventaire.cncp.gouv.fr/fiches/1629/","1629")</f>
        <v>1629</v>
      </c>
      <c r="E364" t="str">
        <f>HYPERLINK("http://www.intercariforef.org/formations/certification-65944.html","65944")</f>
        <v>65944</v>
      </c>
      <c r="F364" s="1">
        <v>40224</v>
      </c>
      <c r="G364" s="1">
        <v>42394</v>
      </c>
    </row>
    <row r="365" ht="26.2" customHeight="1">
      <c r="A365" t="str">
        <v>Electricité, électronique</v>
      </c>
      <c r="B365" t="str">
        <v>Habilitation électrique B2N chargé de travaux, nettoyage sous tension d'équipement électrique, basse tension</v>
      </c>
      <c r="C365" t="str">
        <v>Caisse Nationale de l'Assurance Maladie des Travailleurs (CNAMTS)</v>
      </c>
      <c r="D365" t="str">
        <f>HYPERLINK("https://inventaire.cncp.gouv.fr/fiches/1669/","1669")</f>
        <v>1669</v>
      </c>
      <c r="E365" t="str">
        <f>HYPERLINK("http://www.intercariforef.org/formations/certification-65956.html","65956")</f>
        <v>65956</v>
      </c>
      <c r="F365" s="1">
        <v>40224</v>
      </c>
      <c r="G365" s="1">
        <v>42395</v>
      </c>
    </row>
    <row r="366">
      <c r="A366" t="str">
        <v>Electricité, électronique</v>
      </c>
      <c r="B366" t="str">
        <v>Habilitation électrique B2T chargé de travaux électriques sous tension, basse tension</v>
      </c>
      <c r="C366" t="str">
        <v>Caisse Nationale de l'Assurance Maladie des Travailleurs (CNAMTS)</v>
      </c>
      <c r="D366" t="str">
        <f>HYPERLINK("https://inventaire.cncp.gouv.fr/fiches/1668/","1668")</f>
        <v>1668</v>
      </c>
      <c r="E366" t="str">
        <f>HYPERLINK("http://www.intercariforef.org/formations/certification-65952.html","65952")</f>
        <v>65952</v>
      </c>
      <c r="F366" s="1">
        <v>40224</v>
      </c>
      <c r="G366" s="1">
        <v>42395</v>
      </c>
    </row>
    <row r="367">
      <c r="A367" t="str">
        <v>Electricité, électronique</v>
      </c>
      <c r="B367" t="str">
        <v>Habilitation électrique B2V (essai) chargé de travaux au voisinage, basse tension</v>
      </c>
      <c r="C367" t="str">
        <v>Caisse Nationale de l'Assurance Maladie des Travailleurs (CNAMTS)</v>
      </c>
      <c r="D367" t="str">
        <v>99999</v>
      </c>
      <c r="E367" t="str">
        <f>HYPERLINK("http://www.intercariforef.org/formations/certification-82486.html","82486")</f>
        <v>82486</v>
      </c>
      <c r="F367" s="1">
        <v>41652</v>
      </c>
      <c r="G367" s="1">
        <v>42188</v>
      </c>
    </row>
    <row r="368">
      <c r="A368" t="str">
        <v>Electricité, électronique</v>
      </c>
      <c r="B368" t="str">
        <v>Habilitation électrique B2V chargé de travaux électriques au voisinage, basse tension</v>
      </c>
      <c r="C368" t="str">
        <v>Caisse Nationale de l'Assurance Maladie des Travailleurs (CNAMTS)</v>
      </c>
      <c r="D368" t="str">
        <f>HYPERLINK("https://inventaire.cncp.gouv.fr/fiches/1667/","1667")</f>
        <v>1667</v>
      </c>
      <c r="E368" t="str">
        <f>HYPERLINK("http://www.intercariforef.org/formations/certification-65946.html","65946")</f>
        <v>65946</v>
      </c>
      <c r="F368" s="1">
        <v>40224</v>
      </c>
      <c r="G368" s="1">
        <v>42394</v>
      </c>
    </row>
    <row r="369">
      <c r="A369" t="str">
        <v>Electricité, électronique</v>
      </c>
      <c r="B369" t="str">
        <v>Habilitation électrique BC chargé de consignation, basse tension</v>
      </c>
      <c r="C369" t="str">
        <v>Caisse Nationale de l'Assurance Maladie des Travailleurs (CNAMTS)</v>
      </c>
      <c r="D369" t="str">
        <f>HYPERLINK("https://inventaire.cncp.gouv.fr/fiches/1630/","1630")</f>
        <v>1630</v>
      </c>
      <c r="E369" t="str">
        <f>HYPERLINK("http://www.intercariforef.org/formations/certification-65948.html","65948")</f>
        <v>65948</v>
      </c>
      <c r="F369" s="1">
        <v>40224</v>
      </c>
      <c r="G369" s="1">
        <v>42395</v>
      </c>
    </row>
    <row r="370">
      <c r="A370" t="str">
        <v>Electricité, électronique</v>
      </c>
      <c r="B370" t="str">
        <v>Habilitation électrique BE essai chargé d'opérations spécifiques, basse tension</v>
      </c>
      <c r="C370" t="str">
        <v>Caisse Nationale de l'Assurance Maladie des Travailleurs (CNAMTS)</v>
      </c>
      <c r="D370" t="str">
        <f>HYPERLINK("https://inventaire.cncp.gouv.fr/fiches/1635/","1635")</f>
        <v>1635</v>
      </c>
      <c r="E370" t="str">
        <f>HYPERLINK("http://www.intercariforef.org/formations/certification-82503.html","82503")</f>
        <v>82503</v>
      </c>
      <c r="F370" s="1">
        <v>41654</v>
      </c>
      <c r="G370" s="1">
        <v>42747</v>
      </c>
    </row>
    <row r="371">
      <c r="A371" t="str">
        <v>Electricité, électronique</v>
      </c>
      <c r="B371" t="str">
        <v>Habilitation électrique BE manoeuvre chargé d'opérations spécifiques, basse tension</v>
      </c>
      <c r="C371" t="str">
        <v>Caisse Nationale de l'Assurance Maladie des Travailleurs (CNAMTS)</v>
      </c>
      <c r="D371" t="str">
        <f>HYPERLINK("https://inventaire.cncp.gouv.fr/fiches/1635/","1635")</f>
        <v>1635</v>
      </c>
      <c r="E371" t="str">
        <f>HYPERLINK("http://www.intercariforef.org/formations/certification-82504.html","82504")</f>
        <v>82504</v>
      </c>
      <c r="F371" s="1">
        <v>41654</v>
      </c>
      <c r="G371" s="1">
        <v>42747</v>
      </c>
    </row>
    <row r="372">
      <c r="A372" t="str">
        <v>Electricité, électronique</v>
      </c>
      <c r="B372" t="str">
        <v>Habilitation électrique BE mesurage chargé d'opérations spécifiques, basse tension</v>
      </c>
      <c r="C372" t="str">
        <v>Caisse Nationale de l'Assurance Maladie des Travailleurs (CNAMTS)</v>
      </c>
      <c r="D372" t="str">
        <f>HYPERLINK("https://inventaire.cncp.gouv.fr/fiches/1635/","1635")</f>
        <v>1635</v>
      </c>
      <c r="E372" t="str">
        <f>HYPERLINK("http://www.intercariforef.org/formations/certification-82498.html","82498")</f>
        <v>82498</v>
      </c>
      <c r="F372" s="1">
        <v>41654</v>
      </c>
      <c r="G372" s="1">
        <v>42747</v>
      </c>
    </row>
    <row r="373">
      <c r="A373" t="str">
        <v>Electricité, électronique</v>
      </c>
      <c r="B373" t="str">
        <v>Habilitation électrique BE vérification chargé d'opérations spécifiques, basse tension</v>
      </c>
      <c r="C373" t="str">
        <v>Caisse Nationale de l'Assurance Maladie des Travailleurs (CNAMTS)</v>
      </c>
      <c r="D373" t="str">
        <f>HYPERLINK("https://inventaire.cncp.gouv.fr/fiches/1635/","1635")</f>
        <v>1635</v>
      </c>
      <c r="E373" t="str">
        <f>HYPERLINK("http://www.intercariforef.org/formations/certification-82500.html","82500")</f>
        <v>82500</v>
      </c>
      <c r="F373" s="1">
        <v>41654</v>
      </c>
      <c r="G373" s="1">
        <v>42747</v>
      </c>
    </row>
    <row r="374">
      <c r="A374" t="str">
        <v>Electricité, électronique</v>
      </c>
      <c r="B374" t="str">
        <v>Habilitation électrique BP chargé d'opérations sur installations photovoltaïques, basse tension</v>
      </c>
      <c r="C374" t="str">
        <v>Caisse Nationale de l'Assurance Maladie des Travailleurs (CNAMTS)</v>
      </c>
      <c r="D374" t="str">
        <f>HYPERLINK("https://inventaire.cncp.gouv.fr/fiches/1764/","1764")</f>
        <v>1764</v>
      </c>
      <c r="E374" t="str">
        <f>HYPERLINK("http://www.intercariforef.org/formations/certification-82510.html","82510")</f>
        <v>82510</v>
      </c>
      <c r="F374" s="1">
        <v>41654</v>
      </c>
      <c r="G374" s="1">
        <v>42394</v>
      </c>
    </row>
    <row r="375">
      <c r="A375" t="str">
        <v>Electricité, électronique</v>
      </c>
      <c r="B375" t="str">
        <v>Habilitation électrique BR chargé d'intervention générale, basse tension</v>
      </c>
      <c r="C375" t="str">
        <v>Caisse Nationale de l'Assurance Maladie des Travailleurs (CNAMTS)</v>
      </c>
      <c r="D375" t="str">
        <f>HYPERLINK("https://inventaire.cncp.gouv.fr/fiches/1632/","1632")</f>
        <v>1632</v>
      </c>
      <c r="E375" t="str">
        <f>HYPERLINK("http://www.intercariforef.org/formations/certification-82496.html","82496")</f>
        <v>82496</v>
      </c>
      <c r="F375" s="1">
        <v>41654</v>
      </c>
      <c r="G375" s="1">
        <v>42395</v>
      </c>
    </row>
    <row r="376">
      <c r="A376" t="str">
        <v>Electricité, électronique</v>
      </c>
      <c r="B376" t="str">
        <v>Habilitation électrique BR photovoltaïque chargé d'intervention générale, basse tension</v>
      </c>
      <c r="C376" t="str">
        <v>Caisse Nationale de l'Assurance Maladie des Travailleurs (CNAMTS)</v>
      </c>
      <c r="D376" t="str">
        <f>HYPERLINK("https://inventaire.cncp.gouv.fr/fiches/1773/","1773")</f>
        <v>1773</v>
      </c>
      <c r="E376" t="str">
        <f>HYPERLINK("http://www.intercariforef.org/formations/certification-82485.html","82485")</f>
        <v>82485</v>
      </c>
      <c r="F376" s="1">
        <v>41652</v>
      </c>
      <c r="G376" s="1">
        <v>42395</v>
      </c>
    </row>
    <row r="377">
      <c r="A377" t="str">
        <v>Electricité, électronique</v>
      </c>
      <c r="B377" t="str">
        <v>Habilitation électrique BS chargé d'intervention élémentaire, basse tension</v>
      </c>
      <c r="C377" t="str">
        <v>Caisse Nationale de l'Assurance Maladie des Travailleurs (CNAMTS)</v>
      </c>
      <c r="D377" t="str">
        <f>HYPERLINK("https://inventaire.cncp.gouv.fr/fiches/1633/","1633")</f>
        <v>1633</v>
      </c>
      <c r="E377" t="str">
        <f>HYPERLINK("http://www.intercariforef.org/formations/certification-65958.html","65958")</f>
        <v>65958</v>
      </c>
      <c r="F377" s="1">
        <v>40224</v>
      </c>
      <c r="G377" s="1">
        <v>42395</v>
      </c>
    </row>
    <row r="378">
      <c r="A378" t="str">
        <v>Electricité, électronique</v>
      </c>
      <c r="B378" t="str">
        <v>Habilitation électrique H0 chargé de travaux d'ordre non électrique, haute tension</v>
      </c>
      <c r="C378" t="str">
        <v>Caisse Nationale de l'Assurance Maladie des Travailleurs (CNAMTS)</v>
      </c>
      <c r="D378" t="str">
        <f>HYPERLINK("https://inventaire.cncp.gouv.fr/fiches/1126/","1126")</f>
        <v>1126</v>
      </c>
      <c r="E378" t="str">
        <f>HYPERLINK("http://www.intercariforef.org/formations/certification-65936.html","65936")</f>
        <v>65936</v>
      </c>
      <c r="F378" s="1">
        <v>40224</v>
      </c>
      <c r="G378" s="1">
        <v>42395</v>
      </c>
    </row>
    <row r="379" ht="26.2" customHeight="1">
      <c r="A379" t="str">
        <v>Electricité, électronique</v>
      </c>
      <c r="B379" t="str">
        <v>Habilitation électrique H0V chargé de travaux d'ordre non électrique, travaux au voisinage, haute tension</v>
      </c>
      <c r="C379" t="str">
        <v>Caisse Nationale de l'Assurance Maladie des Travailleurs (CNAMTS)</v>
      </c>
      <c r="D379" t="str">
        <f>HYPERLINK("https://inventaire.cncp.gouv.fr/fiches/1657/","1657")</f>
        <v>1657</v>
      </c>
      <c r="E379" t="str">
        <f>HYPERLINK("http://www.intercariforef.org/formations/certification-65939.html","65939")</f>
        <v>65939</v>
      </c>
      <c r="F379" s="1">
        <v>40224</v>
      </c>
      <c r="G379" s="1">
        <v>42394</v>
      </c>
    </row>
    <row r="380">
      <c r="A380" t="str">
        <v>Electricité, électronique</v>
      </c>
      <c r="B380" t="str">
        <v>Habilitation électrique H1 exécutant électricien, haute tension</v>
      </c>
      <c r="C380" t="str">
        <v>Caisse Nationale de l'Assurance Maladie des Travailleurs (CNAMTS)</v>
      </c>
      <c r="D380" t="str">
        <f>HYPERLINK("https://inventaire.cncp.gouv.fr/fiches/1624/","1624")</f>
        <v>1624</v>
      </c>
      <c r="E380" t="str">
        <f>HYPERLINK("http://www.intercariforef.org/formations/certification-65941.html","65941")</f>
        <v>65941</v>
      </c>
      <c r="F380" s="1">
        <v>40224</v>
      </c>
      <c r="G380" s="1">
        <v>42395</v>
      </c>
    </row>
    <row r="381" ht="26.2" customHeight="1">
      <c r="A381" t="str">
        <v>Electricité, électronique</v>
      </c>
      <c r="B381" t="str">
        <v>Habilitation électrique H1N exécutant électricien, nettoyage sous tension d'équipement électrique, haute tension</v>
      </c>
      <c r="C381" t="str">
        <v>Caisse Nationale de l'Assurance Maladie des Travailleurs (CNAMTS)</v>
      </c>
      <c r="D381" t="str">
        <v>99999</v>
      </c>
      <c r="E381" t="str">
        <f>HYPERLINK("http://www.intercariforef.org/formations/certification-65955.html","65955")</f>
        <v>65955</v>
      </c>
      <c r="F381" s="1">
        <v>40224</v>
      </c>
      <c r="G381" s="1">
        <v>42188</v>
      </c>
    </row>
    <row r="382">
      <c r="A382" t="str">
        <v>Electricité, électronique</v>
      </c>
      <c r="B382" t="str">
        <v>Habilitation électrique H1T exécutant électricien, travaux sous tension, haute tension</v>
      </c>
      <c r="C382" t="str">
        <v>Caisse Nationale de l'Assurance Maladie des Travailleurs (CNAMTS)</v>
      </c>
      <c r="D382" t="str">
        <f>HYPERLINK("https://inventaire.cncp.gouv.fr/fiches/1650/","1650")</f>
        <v>1650</v>
      </c>
      <c r="E382" t="str">
        <f>HYPERLINK("http://www.intercariforef.org/formations/certification-65951.html","65951")</f>
        <v>65951</v>
      </c>
      <c r="F382" s="1">
        <v>40224</v>
      </c>
      <c r="G382" s="1">
        <v>42395</v>
      </c>
    </row>
    <row r="383">
      <c r="A383" t="str">
        <v>Electricité, électronique</v>
      </c>
      <c r="B383" t="str">
        <v>Habilitation électrique H1V exécutant électricien, travaux au voisinage, haute tension</v>
      </c>
      <c r="C383" t="str">
        <v>Caisse Nationale de l'Assurance Maladie des Travailleurs (CNAMTS)</v>
      </c>
      <c r="D383" t="str">
        <f>HYPERLINK("https://inventaire.cncp.gouv.fr/fiches/1647/","1647")</f>
        <v>1647</v>
      </c>
      <c r="E383" t="str">
        <f>HYPERLINK("http://www.intercariforef.org/formations/certification-65943.html","65943")</f>
        <v>65943</v>
      </c>
      <c r="F383" s="1">
        <v>40224</v>
      </c>
      <c r="G383" s="1">
        <v>42394</v>
      </c>
    </row>
    <row r="384">
      <c r="A384" t="str">
        <v>Electricité, électronique</v>
      </c>
      <c r="B384" t="str">
        <v>Habilitation électrique H2 chargé de travaux électrique, haute tension</v>
      </c>
      <c r="C384" t="str">
        <v>Caisse Nationale de l'Assurance Maladie des Travailleurs (CNAMTS)</v>
      </c>
      <c r="D384" t="str">
        <f>HYPERLINK("https://inventaire.cncp.gouv.fr/fiches/1670/","1670")</f>
        <v>1670</v>
      </c>
      <c r="E384" t="str">
        <f>HYPERLINK("http://www.intercariforef.org/formations/certification-65945.html","65945")</f>
        <v>65945</v>
      </c>
      <c r="F384" s="1">
        <v>40224</v>
      </c>
      <c r="G384" s="1">
        <v>42395</v>
      </c>
    </row>
    <row r="385" ht="26.2" customHeight="1">
      <c r="A385" t="str">
        <v>Electricité, électronique</v>
      </c>
      <c r="B385" t="str">
        <v>Habilitation électrique H2N chargé de travaux, nettoyage sous tension d'équipement électrique, haute tension</v>
      </c>
      <c r="C385" t="str">
        <v>Caisse Nationale de l'Assurance Maladie des Travailleurs (CNAMTS)</v>
      </c>
      <c r="D385" t="str">
        <f>HYPERLINK("https://inventaire.cncp.gouv.fr/fiches/1673/","1673")</f>
        <v>1673</v>
      </c>
      <c r="E385" t="str">
        <f>HYPERLINK("http://www.intercariforef.org/formations/certification-65957.html","65957")</f>
        <v>65957</v>
      </c>
      <c r="F385" s="1">
        <v>40224</v>
      </c>
      <c r="G385" s="1">
        <v>42395</v>
      </c>
    </row>
    <row r="386">
      <c r="A386" t="str">
        <v>Electricité, électronique</v>
      </c>
      <c r="B386" t="str">
        <v>Habilitation électrique H2T chargé de travaux électriques, travaux sous tension, haute tension</v>
      </c>
      <c r="C386" t="str">
        <v>Caisse Nationale de l'Assurance Maladie des Travailleurs (CNAMTS)</v>
      </c>
      <c r="D386" t="str">
        <f>HYPERLINK("https://inventaire.cncp.gouv.fr/fiches/1672/","1672")</f>
        <v>1672</v>
      </c>
      <c r="E386" t="str">
        <f>HYPERLINK("http://www.intercariforef.org/formations/certification-65953.html","65953")</f>
        <v>65953</v>
      </c>
      <c r="F386" s="1">
        <v>40224</v>
      </c>
      <c r="G386" s="1">
        <v>42394</v>
      </c>
    </row>
    <row r="387">
      <c r="A387" t="str">
        <v>Electricité, électronique</v>
      </c>
      <c r="B387" t="str">
        <v>Habilitation électrique H2V (essai) chargé de travaux au voisinage, haute tension</v>
      </c>
      <c r="C387" t="str">
        <v>Caisse Nationale de l'Assurance Maladie des Travailleurs (CNAMTS)</v>
      </c>
      <c r="D387" t="str">
        <v>99999</v>
      </c>
      <c r="E387" t="str">
        <f>HYPERLINK("http://www.intercariforef.org/formations/certification-82487.html","82487")</f>
        <v>82487</v>
      </c>
      <c r="F387" s="1">
        <v>41652</v>
      </c>
      <c r="G387" s="1">
        <v>42188</v>
      </c>
    </row>
    <row r="388">
      <c r="A388" t="str">
        <v>Electricité, électronique</v>
      </c>
      <c r="B388" t="str">
        <v>Habilitation électrique H2V chargé de travaux électriques au voisinage, haute tension</v>
      </c>
      <c r="C388" t="str">
        <v>Caisse Nationale de l'Assurance Maladie des Travailleurs (CNAMTS)</v>
      </c>
      <c r="D388" t="str">
        <f>HYPERLINK("https://inventaire.cncp.gouv.fr/fiches/1671/","1671")</f>
        <v>1671</v>
      </c>
      <c r="E388" t="str">
        <f>HYPERLINK("http://www.intercariforef.org/formations/certification-65947.html","65947")</f>
        <v>65947</v>
      </c>
      <c r="F388" s="1">
        <v>40224</v>
      </c>
      <c r="G388" s="1">
        <v>42396</v>
      </c>
    </row>
    <row r="389">
      <c r="A389" t="str">
        <v>Electricité, électronique</v>
      </c>
      <c r="B389" t="str">
        <v>Habilitation électrique HC chargé de consignation, haute tension</v>
      </c>
      <c r="C389" t="str">
        <v>Caisse Nationale de l'Assurance Maladie des Travailleurs (CNAMTS)</v>
      </c>
      <c r="D389" t="str">
        <f>HYPERLINK("https://inventaire.cncp.gouv.fr/fiches/1674/","1674")</f>
        <v>1674</v>
      </c>
      <c r="E389" t="str">
        <f>HYPERLINK("http://www.intercariforef.org/formations/certification-65949.html","65949")</f>
        <v>65949</v>
      </c>
      <c r="F389" s="1">
        <v>40224</v>
      </c>
      <c r="G389" s="1">
        <v>42395</v>
      </c>
    </row>
    <row r="390">
      <c r="A390" t="str">
        <v>Electricité, électronique</v>
      </c>
      <c r="B390" t="str">
        <v>Habilitation électrique HE essai chargé d'opérations spécifiques, haute tension</v>
      </c>
      <c r="C390" t="str">
        <v>Caisse Nationale de l'Assurance Maladie des Travailleurs (CNAMTS)</v>
      </c>
      <c r="D390" t="str">
        <v>99999</v>
      </c>
      <c r="E390" t="str">
        <f>HYPERLINK("http://www.intercariforef.org/formations/certification-82505.html","82505")</f>
        <v>82505</v>
      </c>
      <c r="F390" s="1">
        <v>41654</v>
      </c>
      <c r="G390" s="1">
        <v>42188</v>
      </c>
    </row>
    <row r="391">
      <c r="A391" t="str">
        <v>Electricité, électronique</v>
      </c>
      <c r="B391" t="str">
        <v>Habilitation électrique HE manoeuvre chargé d'opérations spécifiques, haute tension</v>
      </c>
      <c r="C391" t="str">
        <v>Caisse Nationale de l'Assurance Maladie des Travailleurs (CNAMTS)</v>
      </c>
      <c r="D391" t="str">
        <f>HYPERLINK("https://inventaire.cncp.gouv.fr/fiches/1675/","1675")</f>
        <v>1675</v>
      </c>
      <c r="E391" t="str">
        <f>HYPERLINK("http://www.intercariforef.org/formations/certification-82508.html","82508")</f>
        <v>82508</v>
      </c>
      <c r="F391" s="1">
        <v>41654</v>
      </c>
      <c r="G391" s="1">
        <v>42395</v>
      </c>
    </row>
    <row r="392">
      <c r="A392" t="str">
        <v>Electricité, électronique</v>
      </c>
      <c r="B392" t="str">
        <v>Habilitation électrique HE mesurage chargé d'opérations spécifiques, haute tension</v>
      </c>
      <c r="C392" t="str">
        <v>Caisse Nationale de l'Assurance Maladie des Travailleurs (CNAMTS)</v>
      </c>
      <c r="D392" t="str">
        <v>99999</v>
      </c>
      <c r="E392" t="str">
        <f>HYPERLINK("http://www.intercariforef.org/formations/certification-82506.html","82506")</f>
        <v>82506</v>
      </c>
      <c r="F392" s="1">
        <v>41654</v>
      </c>
      <c r="G392" s="1">
        <v>42188</v>
      </c>
    </row>
    <row r="393">
      <c r="A393" t="str">
        <v>Electricité, électronique</v>
      </c>
      <c r="B393" t="str">
        <v>Habilitation électrique HE vérification chargé d'opérations spécifiques, haute tension</v>
      </c>
      <c r="C393" t="str">
        <v>Caisse Nationale de l'Assurance Maladie des Travailleurs (CNAMTS)</v>
      </c>
      <c r="D393" t="str">
        <v>99999</v>
      </c>
      <c r="E393" t="str">
        <f>HYPERLINK("http://www.intercariforef.org/formations/certification-82507.html","82507")</f>
        <v>82507</v>
      </c>
      <c r="F393" s="1">
        <v>41654</v>
      </c>
      <c r="G393" s="1">
        <v>42188</v>
      </c>
    </row>
    <row r="394">
      <c r="A394" t="str">
        <v>Electricité, électronique</v>
      </c>
      <c r="B394" t="str">
        <v>IACS (Industrial Automation Control System) - Spécialité Electricité</v>
      </c>
      <c r="C394" t="str">
        <v>Institut de Régulation et Automation</v>
      </c>
      <c r="D394" t="str">
        <f>HYPERLINK("https://inventaire.cncp.gouv.fr/fiches/3720/","3720")</f>
        <v>3720</v>
      </c>
      <c r="E394" t="str">
        <f>HYPERLINK("http://www.intercariforef.org/formations/certification-102471.html","102471")</f>
        <v>102471</v>
      </c>
      <c r="F394" s="1">
        <v>43298</v>
      </c>
      <c r="G394" s="1">
        <v>43298</v>
      </c>
    </row>
    <row r="395">
      <c r="A395" t="str">
        <v>Electricité, électronique</v>
      </c>
      <c r="B395" t="str">
        <v>Maintenance en système de vidéosurveillance</v>
      </c>
      <c r="C395" t="str">
        <v>SVDI</v>
      </c>
      <c r="D395" t="str">
        <f>HYPERLINK("https://inventaire.cncp.gouv.fr/fiches/1659/","1659")</f>
        <v>1659</v>
      </c>
      <c r="E395" t="str">
        <f>HYPERLINK("http://www.intercariforef.org/formations/certification-88511.html","88511")</f>
        <v>88511</v>
      </c>
      <c r="F395" s="1">
        <v>42466</v>
      </c>
      <c r="G395" s="1">
        <v>42466</v>
      </c>
    </row>
    <row r="396">
      <c r="A396" t="str">
        <v>Electricité, électronique</v>
      </c>
      <c r="B396" t="str">
        <v>Système de sécurité incendie : responsabilité technique</v>
      </c>
      <c r="C396" t="str">
        <v>SVDI</v>
      </c>
      <c r="D396" t="str">
        <f>HYPERLINK("https://inventaire.cncp.gouv.fr/fiches/1780/","1780")</f>
        <v>1780</v>
      </c>
      <c r="E396" t="str">
        <f>HYPERLINK("http://www.intercariforef.org/formations/certification-99185.html","99185")</f>
        <v>99185</v>
      </c>
      <c r="F396" s="1">
        <v>43076</v>
      </c>
      <c r="G396" s="1">
        <v>43076</v>
      </c>
    </row>
    <row r="397">
      <c r="A397" t="str">
        <v>Electricité, électronique</v>
      </c>
      <c r="B397" t="str">
        <v>Système de sécurité incendie : technique d'exécution</v>
      </c>
      <c r="C397" t="str">
        <v>SVDI</v>
      </c>
      <c r="D397" t="str">
        <f>HYPERLINK("https://inventaire.cncp.gouv.fr/fiches/1785/","1785")</f>
        <v>1785</v>
      </c>
      <c r="E397" t="str">
        <f>HYPERLINK("http://www.intercariforef.org/formations/certification-99187.html","99187")</f>
        <v>99187</v>
      </c>
      <c r="F397" s="1">
        <v>43076</v>
      </c>
      <c r="G397" s="1">
        <v>43076</v>
      </c>
    </row>
    <row r="398">
      <c r="A398" t="str">
        <v>Electricité, électronique</v>
      </c>
      <c r="B398" t="str">
        <v>Technique d'exécution en vidéosurveillance</v>
      </c>
      <c r="C398" t="str">
        <v>SVDI</v>
      </c>
      <c r="D398" t="str">
        <f>HYPERLINK("https://inventaire.cncp.gouv.fr/fiches/1656/","1656")</f>
        <v>1656</v>
      </c>
      <c r="E398" t="str">
        <f>HYPERLINK("http://www.intercariforef.org/formations/certification-88513.html","88513")</f>
        <v>88513</v>
      </c>
      <c r="F398" s="1">
        <v>42466</v>
      </c>
      <c r="G398" s="1">
        <v>42466</v>
      </c>
    </row>
    <row r="399">
      <c r="A399" t="str">
        <v>Electricité, électronique</v>
      </c>
      <c r="B399" t="str">
        <v>Vidéosurveillance : responsabilité technique</v>
      </c>
      <c r="C399" t="str">
        <v>SVDI</v>
      </c>
      <c r="D399" t="str">
        <f>HYPERLINK("https://inventaire.cncp.gouv.fr/fiches/1662/","1662")</f>
        <v>1662</v>
      </c>
      <c r="E399" t="str">
        <f>HYPERLINK("http://www.intercariforef.org/formations/certification-88515.html","88515")</f>
        <v>88515</v>
      </c>
      <c r="F399" s="1">
        <v>42466</v>
      </c>
      <c r="G399" s="1">
        <v>42466</v>
      </c>
    </row>
    <row r="400">
      <c r="A400" t="str">
        <v>Energie</v>
      </c>
      <c r="B400" t="str">
        <v>Auditeur ICA énergie</v>
      </c>
      <c r="C400" t="str">
        <v>AFNOR</v>
      </c>
      <c r="D400" t="str">
        <f>HYPERLINK("https://inventaire.cncp.gouv.fr/fiches/936/","936")</f>
        <v>936</v>
      </c>
      <c r="E400" t="str">
        <f>HYPERLINK("http://www.intercariforef.org/formations/certification-85058.html","85058")</f>
        <v>85058</v>
      </c>
      <c r="F400" s="1">
        <v>42185</v>
      </c>
      <c r="G400" s="1">
        <v>42185</v>
      </c>
    </row>
    <row r="401">
      <c r="A401" t="str">
        <v>Energie</v>
      </c>
      <c r="B401" t="str">
        <v>Certificat "Chef de projet Energies Marines Renouvelables - EMR"</v>
      </c>
      <c r="C401" t="str">
        <v>Université de Nantes</v>
      </c>
      <c r="D401" t="str">
        <f>HYPERLINK("https://inventaire.cncp.gouv.fr/fiches/2213/","2213")</f>
        <v>2213</v>
      </c>
      <c r="E401" t="str">
        <f>HYPERLINK("http://www.intercariforef.org/formations/certification-90001.html","90001")</f>
        <v>90001</v>
      </c>
      <c r="F401" s="1">
        <v>42557</v>
      </c>
      <c r="G401" s="1">
        <v>42979</v>
      </c>
    </row>
    <row r="402">
      <c r="A402" t="str">
        <v>Energie</v>
      </c>
      <c r="B402" t="str">
        <v>Certificat "Référent Énergies Marines Renouvelables - EMR"</v>
      </c>
      <c r="C402" t="str">
        <v>Université de Nantes</v>
      </c>
      <c r="D402" t="str">
        <f>HYPERLINK("https://inventaire.cncp.gouv.fr/fiches/2214/","2214")</f>
        <v>2214</v>
      </c>
      <c r="E402" t="str">
        <f>HYPERLINK("http://www.intercariforef.org/formations/certification-89999.html","89999")</f>
        <v>89999</v>
      </c>
      <c r="F402" s="1">
        <v>42557</v>
      </c>
      <c r="G402" s="1">
        <v>42979</v>
      </c>
    </row>
    <row r="403" ht="26.2" customHeight="1">
      <c r="A403" t="str">
        <v>Energie</v>
      </c>
      <c r="B403" t="str">
        <v>Certificat de formation de personne compétente en radioprotection de niveau 1 secteur industrie</v>
      </c>
      <c r="C403" t="str">
        <v>Ministère de la transition écologique et solidaire</v>
      </c>
      <c r="D403" t="str">
        <f>HYPERLINK("https://inventaire.cncp.gouv.fr/fiches/2112/","2112")</f>
        <v>2112</v>
      </c>
      <c r="E403" t="str">
        <f>HYPERLINK("http://www.intercariforef.org/formations/certification-82445.html","82445")</f>
        <v>82445</v>
      </c>
      <c r="F403" s="1">
        <v>41641</v>
      </c>
      <c r="G403" s="1">
        <v>43111</v>
      </c>
    </row>
    <row r="404">
      <c r="A404" t="str">
        <v>Energie</v>
      </c>
      <c r="B404" t="str">
        <v>Certificat de formation de personne compétente en radioprotection de niveau 1 secteur médical</v>
      </c>
      <c r="C404" t="str">
        <v>Ministère de la transition écologique et solidaire</v>
      </c>
      <c r="D404" t="str">
        <f>HYPERLINK("https://inventaire.cncp.gouv.fr/fiches/2112/","2112")</f>
        <v>2112</v>
      </c>
      <c r="E404" t="str">
        <f>HYPERLINK("http://www.intercariforef.org/formations/certification-82443.html","82443")</f>
        <v>82443</v>
      </c>
      <c r="F404" s="1">
        <v>41641</v>
      </c>
      <c r="G404" s="1">
        <v>43111</v>
      </c>
    </row>
    <row r="405" ht="26.2" customHeight="1">
      <c r="A405" t="str">
        <v>Energie</v>
      </c>
      <c r="B405" t="str">
        <v>Certificat de formation de personne compétente en radioprotection de niveau 1 secteur transport de substances radioactives</v>
      </c>
      <c r="C405" t="str">
        <v>Ministère de la transition écologique et solidaire</v>
      </c>
      <c r="D405" t="str">
        <f>HYPERLINK("https://inventaire.cncp.gouv.fr/fiches/2112/","2112")</f>
        <v>2112</v>
      </c>
      <c r="E405" t="str">
        <f>HYPERLINK("http://www.intercariforef.org/formations/certification-82444.html","82444")</f>
        <v>82444</v>
      </c>
      <c r="F405" s="1">
        <v>41641</v>
      </c>
      <c r="G405" s="1">
        <v>43111</v>
      </c>
    </row>
    <row r="406" ht="26.2" customHeight="1">
      <c r="A406" t="str">
        <v>Energie</v>
      </c>
      <c r="B406" t="str">
        <v>Certificat de formation de personne compétente en radioprotection de niveau 2 secteur industrie option sources radioactives non scellées</v>
      </c>
      <c r="C406" t="str">
        <v>Ministère de la transition écologique et solidaire</v>
      </c>
      <c r="D406" t="str">
        <f>HYPERLINK("https://inventaire.cncp.gouv.fr/fiches/2111/","2111")</f>
        <v>2111</v>
      </c>
      <c r="E406" t="str">
        <f>HYPERLINK("http://www.intercariforef.org/formations/certification-82449.html","82449")</f>
        <v>82449</v>
      </c>
      <c r="F406" s="1">
        <v>41641</v>
      </c>
      <c r="G406" s="1">
        <v>43111</v>
      </c>
    </row>
    <row r="407" ht="26.2" customHeight="1">
      <c r="A407" t="str">
        <v>Energie</v>
      </c>
      <c r="B407" t="str">
        <v>Certificat de formation de personne compétente en radioprotection de niveau 2 secteur industrie option sources radioactives scellées</v>
      </c>
      <c r="C407" t="str">
        <v>Ministère de la transition écologique et solidaire</v>
      </c>
      <c r="D407" t="str">
        <f>HYPERLINK("https://inventaire.cncp.gouv.fr/fiches/2111/","2111")</f>
        <v>2111</v>
      </c>
      <c r="E407" t="str">
        <f>HYPERLINK("http://www.intercariforef.org/formations/certification-82450.html","82450")</f>
        <v>82450</v>
      </c>
      <c r="F407" s="1">
        <v>41641</v>
      </c>
      <c r="G407" s="1">
        <v>43111</v>
      </c>
    </row>
    <row r="408" ht="26.2" customHeight="1">
      <c r="A408" t="str">
        <v>Energie</v>
      </c>
      <c r="B408" t="str">
        <v>Certificat de formation de personne compétente en radioprotection de niveau 2 secteur médical option sources radioactives non scellées</v>
      </c>
      <c r="C408" t="str">
        <v>Ministère de la transition écologique et solidaire</v>
      </c>
      <c r="D408" t="str">
        <f>HYPERLINK("https://inventaire.cncp.gouv.fr/fiches/2111/","2111")</f>
        <v>2111</v>
      </c>
      <c r="E408" t="str">
        <f>HYPERLINK("http://www.intercariforef.org/formations/certification-82448.html","82448")</f>
        <v>82448</v>
      </c>
      <c r="F408" s="1">
        <v>41641</v>
      </c>
      <c r="G408" s="1">
        <v>43111</v>
      </c>
    </row>
    <row r="409" ht="26.2" customHeight="1">
      <c r="A409" t="str">
        <v>Energie</v>
      </c>
      <c r="B409" t="str">
        <v>Certificat de formation de personne compétente en radioprotection de niveau 2 secteur médical option sources radioactives scellées</v>
      </c>
      <c r="C409" t="str">
        <v>Ministère de la transition écologique et solidaire</v>
      </c>
      <c r="D409" t="str">
        <f>HYPERLINK("https://inventaire.cncp.gouv.fr/fiches/2111/","2111")</f>
        <v>2111</v>
      </c>
      <c r="E409" t="str">
        <f>HYPERLINK("http://www.intercariforef.org/formations/certification-82447.html","82447")</f>
        <v>82447</v>
      </c>
      <c r="F409" s="1">
        <v>41641</v>
      </c>
      <c r="G409" s="1">
        <v>43111</v>
      </c>
    </row>
    <row r="410" ht="26.2" customHeight="1">
      <c r="A410" t="str">
        <v>Energie</v>
      </c>
      <c r="B410" t="str">
        <v>Certificat de formation de personne compétente en radioprotection de niveau 2 secteur transport de substances radioactives</v>
      </c>
      <c r="C410" t="str">
        <v>Ministère de la transition écologique et solidaire</v>
      </c>
      <c r="D410" t="str">
        <f>HYPERLINK("https://inventaire.cncp.gouv.fr/fiches/2111/","2111")</f>
        <v>2111</v>
      </c>
      <c r="E410" t="str">
        <f>HYPERLINK("http://www.intercariforef.org/formations/certification-82446.html","82446")</f>
        <v>82446</v>
      </c>
      <c r="F410" s="1">
        <v>41641</v>
      </c>
      <c r="G410" s="1">
        <v>43111</v>
      </c>
    </row>
    <row r="411" ht="26.2" customHeight="1">
      <c r="A411" t="str">
        <v>Energie</v>
      </c>
      <c r="B411" t="str">
        <v>Certificat de formation de personne compétente en radioprotection de niveau 3 secteur laboratoires, usines, sites de gestion des déchets</v>
      </c>
      <c r="C411" t="str">
        <v>Ministère de la transition écologique et solidaire</v>
      </c>
      <c r="D411" t="str">
        <f>HYPERLINK("https://inventaire.cncp.gouv.fr/fiches/1869/","1869")</f>
        <v>1869</v>
      </c>
      <c r="E411" t="str">
        <f>HYPERLINK("http://www.intercariforef.org/formations/certification-82452.html","82452")</f>
        <v>82452</v>
      </c>
      <c r="F411" s="1">
        <v>41641</v>
      </c>
      <c r="G411" s="1">
        <v>43111</v>
      </c>
    </row>
    <row r="412" ht="26.2" customHeight="1">
      <c r="A412" t="str">
        <v>Energie</v>
      </c>
      <c r="B412" t="str">
        <v>Certificat de formation de personne compétente en radioprotection de niveau 3 secteur réacteur nucléaire</v>
      </c>
      <c r="C412" t="str">
        <v>Ministère de la transition écologique et solidaire</v>
      </c>
      <c r="D412" t="str">
        <f>HYPERLINK("https://inventaire.cncp.gouv.fr/fiches/1869/","1869")</f>
        <v>1869</v>
      </c>
      <c r="E412" t="str">
        <f>HYPERLINK("http://www.intercariforef.org/formations/certification-82451.html","82451")</f>
        <v>82451</v>
      </c>
      <c r="F412" s="1">
        <v>41641</v>
      </c>
      <c r="G412" s="1">
        <v>43111</v>
      </c>
    </row>
    <row r="413">
      <c r="A413" t="str">
        <v>Energie</v>
      </c>
      <c r="B413" t="str">
        <v>Certification CMVP (Certified Measurement and Verification Professionnal)</v>
      </c>
      <c r="C413" t="str">
        <v>Association of Energy Engineers, AFNOR</v>
      </c>
      <c r="D413" t="str">
        <f>HYPERLINK("https://inventaire.cncp.gouv.fr/fiches/3364/","3364")</f>
        <v>3364</v>
      </c>
      <c r="E413" t="str">
        <f>HYPERLINK("http://www.intercariforef.org/formations/certification-104169.html","104169")</f>
        <v>104169</v>
      </c>
      <c r="F413" s="1">
        <v>43398</v>
      </c>
      <c r="G413" s="1">
        <v>43398</v>
      </c>
    </row>
    <row r="414">
      <c r="A414" t="str">
        <v>Energie</v>
      </c>
      <c r="B414" t="str">
        <v>Certification nucléaire - Option Centre de Recherche (CR) - Prévention des Risques (PR)</v>
      </c>
      <c r="C414" t="str">
        <v>Comité français de certification des Entreprises</v>
      </c>
      <c r="D414" t="str">
        <f>HYPERLINK("https://inventaire.cncp.gouv.fr/fiches/2553/","2553")</f>
        <v>2553</v>
      </c>
      <c r="E414" t="str">
        <f>HYPERLINK("http://www.intercariforef.org/formations/certification-94187.html","94187")</f>
        <v>94187</v>
      </c>
      <c r="F414" s="1">
        <v>42773</v>
      </c>
      <c r="G414" s="1">
        <v>42979</v>
      </c>
    </row>
    <row r="415">
      <c r="A415" t="str">
        <v>Energie</v>
      </c>
      <c r="B415" t="str">
        <v>Certification nucléaire - Option Cycle du Combustible (CC) - Prévention des Risques (PR)</v>
      </c>
      <c r="C415" t="str">
        <v>Comité français de certification des Entreprises</v>
      </c>
      <c r="D415" t="str">
        <f>HYPERLINK("https://inventaire.cncp.gouv.fr/fiches/2563/","2563")</f>
        <v>2563</v>
      </c>
      <c r="E415" t="str">
        <f>HYPERLINK("http://www.intercariforef.org/formations/certification-94183.html","94183")</f>
        <v>94183</v>
      </c>
      <c r="F415" s="1">
        <v>42773</v>
      </c>
      <c r="G415" s="1">
        <v>42979</v>
      </c>
    </row>
    <row r="416">
      <c r="A416" t="str">
        <v>Energie</v>
      </c>
      <c r="B416" t="str">
        <v>Certification nucléaire - Option Réacteur Nucléaire (RN) - Complément Sûreté Qualité (CSQ)</v>
      </c>
      <c r="C416" t="str">
        <v>Comité français de certification des Entreprises</v>
      </c>
      <c r="D416" t="str">
        <f>HYPERLINK("https://inventaire.cncp.gouv.fr/fiches/2538/","2538")</f>
        <v>2538</v>
      </c>
      <c r="E416" t="str">
        <f>HYPERLINK("http://www.intercariforef.org/formations/certification-94191.html","94191")</f>
        <v>94191</v>
      </c>
      <c r="F416" s="1">
        <v>42773</v>
      </c>
      <c r="G416" s="1">
        <v>42979</v>
      </c>
    </row>
    <row r="417">
      <c r="A417" t="str">
        <v>Energie</v>
      </c>
      <c r="B417" t="str">
        <v>Certification nucléaire - Option Réacteur Nucléaire (RN) - Radioprotection (RP) - Niveau 1</v>
      </c>
      <c r="C417" t="str">
        <v>Comité français de certification des Entreprises</v>
      </c>
      <c r="D417" t="str">
        <f>HYPERLINK("https://inventaire.cncp.gouv.fr/fiches/2531/","2531")</f>
        <v>2531</v>
      </c>
      <c r="E417" t="str">
        <f>HYPERLINK("http://www.intercariforef.org/formations/certification-85400.html","85400")</f>
        <v>85400</v>
      </c>
      <c r="F417" s="1">
        <v>42254</v>
      </c>
      <c r="G417" s="1">
        <v>42979</v>
      </c>
    </row>
    <row r="418">
      <c r="A418" t="str">
        <v>Energie</v>
      </c>
      <c r="B418" t="str">
        <v>Certification nucléaire - Option Réacteur Nucléaire (RN) - Radioprotection (RP) - Niveau 2</v>
      </c>
      <c r="C418" t="str">
        <v>Comité français de certification des Entreprises</v>
      </c>
      <c r="D418" t="str">
        <f>HYPERLINK("https://inventaire.cncp.gouv.fr/fiches/2546/","2546")</f>
        <v>2546</v>
      </c>
      <c r="E418" t="str">
        <f>HYPERLINK("http://www.intercariforef.org/formations/certification-85401.html","85401")</f>
        <v>85401</v>
      </c>
      <c r="F418" s="1">
        <v>42254</v>
      </c>
      <c r="G418" s="1">
        <v>42979</v>
      </c>
    </row>
    <row r="419" ht="26.2" customHeight="1">
      <c r="A419" t="str">
        <v>Energie</v>
      </c>
      <c r="B419" t="str">
        <v>Certification nucléaire - Option Réacteur Nucléaire (RN) - Savoir Commun du Nucléaire (SCN) - Niveau 1</v>
      </c>
      <c r="C419" t="str">
        <v>Comité français de certification des Entreprises</v>
      </c>
      <c r="D419" t="str">
        <f>HYPERLINK("https://inventaire.cncp.gouv.fr/fiches/2537/","2537")</f>
        <v>2537</v>
      </c>
      <c r="E419" t="str">
        <f>HYPERLINK("http://www.intercariforef.org/formations/certification-85394.html","85394")</f>
        <v>85394</v>
      </c>
      <c r="F419" s="1">
        <v>42254</v>
      </c>
      <c r="G419" s="1">
        <v>42979</v>
      </c>
    </row>
    <row r="420" ht="26.2" customHeight="1">
      <c r="A420" t="str">
        <v>Energie</v>
      </c>
      <c r="B420" t="str">
        <v>Certification nucléaire - Option Réacteur Nucléaire (RN) - Savoir Commun du Nucléaire (SCN) - Niveau 2</v>
      </c>
      <c r="C420" t="str">
        <v>Comité français de certification des Entreprises</v>
      </c>
      <c r="D420" t="str">
        <f>HYPERLINK("https://inventaire.cncp.gouv.fr/fiches/2552/","2552")</f>
        <v>2552</v>
      </c>
      <c r="E420" t="str">
        <f>HYPERLINK("http://www.intercariforef.org/formations/certification-85398.html","85398")</f>
        <v>85398</v>
      </c>
      <c r="F420" s="1">
        <v>42254</v>
      </c>
      <c r="G420" s="1">
        <v>42979</v>
      </c>
    </row>
    <row r="421" ht="26.2" customHeight="1">
      <c r="A421" t="str">
        <v>Energie</v>
      </c>
      <c r="B421" t="str">
        <v>Certification nucléaire - Option Réacteur Nucléaire Embarqué (RNE) - Prévention des Risques (PR)</v>
      </c>
      <c r="C421" t="str">
        <v>Comité français de certification des Entreprises</v>
      </c>
      <c r="D421" t="str">
        <f>HYPERLINK("https://inventaire.cncp.gouv.fr/fiches/2560/","2560")</f>
        <v>2560</v>
      </c>
      <c r="E421" t="str">
        <f>HYPERLINK("http://www.intercariforef.org/formations/certification-94185.html","94185")</f>
        <v>94185</v>
      </c>
      <c r="F421" s="1">
        <v>42773</v>
      </c>
      <c r="G421" s="1">
        <v>42979</v>
      </c>
    </row>
    <row r="422">
      <c r="A422" t="str">
        <v>Energie</v>
      </c>
      <c r="B422" t="str">
        <v>Conception de Projets d'éclairage Eco-efficaces - Niveau 1</v>
      </c>
      <c r="C422" t="str">
        <v>Syndicat de l'éclairage</v>
      </c>
      <c r="D422" t="str">
        <f>HYPERLINK("https://inventaire.cncp.gouv.fr/fiches/2045/","2045")</f>
        <v>2045</v>
      </c>
      <c r="E422" t="str">
        <f>HYPERLINK("http://www.intercariforef.org/formations/certification-92133.html","92133")</f>
        <v>92133</v>
      </c>
      <c r="F422" s="1">
        <v>42667</v>
      </c>
      <c r="G422" s="1">
        <v>42667</v>
      </c>
    </row>
    <row r="423">
      <c r="A423" t="str">
        <v>Energie</v>
      </c>
      <c r="B423" t="str">
        <v>Conception de Projets d'éclairage Eco-efficaces « tertiaires ou industriels » - Niveau 2 (A)</v>
      </c>
      <c r="C423" t="str">
        <v>Syndicat de l'éclairage</v>
      </c>
      <c r="D423" t="str">
        <f>HYPERLINK("https://inventaire.cncp.gouv.fr/fiches/2052/","2052")</f>
        <v>2052</v>
      </c>
      <c r="E423" t="str">
        <f>HYPERLINK("http://www.intercariforef.org/formations/certification-92135.html","92135")</f>
        <v>92135</v>
      </c>
      <c r="F423" s="1">
        <v>42667</v>
      </c>
      <c r="G423" s="1">
        <v>42667</v>
      </c>
    </row>
    <row r="424">
      <c r="A424" t="str">
        <v>Energie</v>
      </c>
      <c r="B424" t="str">
        <v>Conception de Projets d'éclairage Eco-efficaces «Architectural» - Niveau 2 (C)</v>
      </c>
      <c r="C424" t="str">
        <v>Syndicat de l'éclairage</v>
      </c>
      <c r="D424" t="str">
        <f>HYPERLINK("https://inventaire.cncp.gouv.fr/fiches/2055/","2055")</f>
        <v>2055</v>
      </c>
      <c r="E424" t="str">
        <f>HYPERLINK("http://www.intercariforef.org/formations/certification-92141.html","92141")</f>
        <v>92141</v>
      </c>
      <c r="F424" s="1">
        <v>42667</v>
      </c>
      <c r="G424" s="1">
        <v>42718</v>
      </c>
    </row>
    <row r="425">
      <c r="A425" t="str">
        <v>Energie</v>
      </c>
      <c r="B425" t="str">
        <v>Conception de Projets d'éclairage Eco-efficaces des « commerces» - Niveau 2 (B)</v>
      </c>
      <c r="C425" t="str">
        <v>Syndicat de l'éclairage</v>
      </c>
      <c r="D425" t="str">
        <f>HYPERLINK("https://inventaire.cncp.gouv.fr/fiches/2053/","2053")</f>
        <v>2053</v>
      </c>
      <c r="E425" t="str">
        <f>HYPERLINK("http://www.intercariforef.org/formations/certification-92137.html","92137")</f>
        <v>92137</v>
      </c>
      <c r="F425" s="1">
        <v>42667</v>
      </c>
      <c r="G425" s="1">
        <v>42667</v>
      </c>
    </row>
    <row r="426">
      <c r="A426" t="str">
        <v>Energie</v>
      </c>
      <c r="B426" t="str">
        <v>Entrepreneuriat dans les énergies renouvelables</v>
      </c>
      <c r="C426" t="str">
        <v>Ecole polytechnique</v>
      </c>
      <c r="D426" t="str">
        <f>HYPERLINK("https://inventaire.cncp.gouv.fr/fiches/2400/","2400")</f>
        <v>2400</v>
      </c>
      <c r="E426" t="str">
        <f>HYPERLINK("http://www.intercariforef.org/formations/certification-93927.html","93927")</f>
        <v>93927</v>
      </c>
      <c r="F426" s="1">
        <v>42744</v>
      </c>
      <c r="G426" s="1">
        <v>42979</v>
      </c>
    </row>
    <row r="427">
      <c r="A427" t="str">
        <v>Energie</v>
      </c>
      <c r="B427" t="str">
        <v>Équipement biomasse vecteur air</v>
      </c>
      <c r="C427" t="str">
        <v>Qualit'EnR</v>
      </c>
      <c r="D427" t="str">
        <f>HYPERLINK("https://inventaire.cncp.gouv.fr/fiches/1846/","1846")</f>
        <v>1846</v>
      </c>
      <c r="E427" t="str">
        <f>HYPERLINK("http://www.intercariforef.org/formations/certification-88471.html","88471")</f>
        <v>88471</v>
      </c>
      <c r="F427" s="1">
        <v>42464</v>
      </c>
      <c r="G427" s="1">
        <v>42464</v>
      </c>
    </row>
    <row r="428">
      <c r="A428" t="str">
        <v>Energie</v>
      </c>
      <c r="B428" t="str">
        <v>Equipements biomasse vecteur eau</v>
      </c>
      <c r="C428" t="str">
        <v>Qualit'EnR</v>
      </c>
      <c r="D428" t="str">
        <f>HYPERLINK("https://inventaire.cncp.gouv.fr/fiches/1843/","1843")</f>
        <v>1843</v>
      </c>
      <c r="E428" t="str">
        <f>HYPERLINK("http://www.intercariforef.org/formations/certification-88393.html","88393")</f>
        <v>88393</v>
      </c>
      <c r="F428" s="1">
        <v>42461</v>
      </c>
      <c r="G428" s="1">
        <v>42461</v>
      </c>
    </row>
    <row r="429">
      <c r="A429" t="str">
        <v>Energie</v>
      </c>
      <c r="B429" t="str">
        <v>Forage géothermique</v>
      </c>
      <c r="C429" t="str">
        <v>Qualit'EnR</v>
      </c>
      <c r="D429" t="str">
        <f>HYPERLINK("https://inventaire.cncp.gouv.fr/fiches/1847/","1847")</f>
        <v>1847</v>
      </c>
      <c r="E429" t="str">
        <f>HYPERLINK("http://www.intercariforef.org/formations/certification-88473.html","88473")</f>
        <v>88473</v>
      </c>
      <c r="F429" s="1">
        <v>42464</v>
      </c>
      <c r="G429" s="1">
        <v>42464</v>
      </c>
    </row>
    <row r="430">
      <c r="A430" t="str">
        <v>Energie</v>
      </c>
      <c r="B430" t="str">
        <v>Générateur photovoltaïque raccordé au réseau - compétence électricité</v>
      </c>
      <c r="C430" t="str">
        <v>Qualit'EnR</v>
      </c>
      <c r="D430" t="str">
        <f>HYPERLINK("https://inventaire.cncp.gouv.fr/fiches/1850/","1850")</f>
        <v>1850</v>
      </c>
      <c r="E430" t="str">
        <f>HYPERLINK("http://www.intercariforef.org/formations/certification-88467.html","88467")</f>
        <v>88467</v>
      </c>
      <c r="F430" s="1">
        <v>42464</v>
      </c>
      <c r="G430" s="1">
        <v>42464</v>
      </c>
    </row>
    <row r="431">
      <c r="A431" t="str">
        <v>Energie</v>
      </c>
      <c r="B431" t="str">
        <v>Générateur photovoltaïque raccordé au réseau - compétence intégration au bâti</v>
      </c>
      <c r="C431" t="str">
        <v>Qualit'EnR</v>
      </c>
      <c r="D431" t="str">
        <f>HYPERLINK("https://inventaire.cncp.gouv.fr/fiches/1849/","1849")</f>
        <v>1849</v>
      </c>
      <c r="E431" t="str">
        <f>HYPERLINK("http://www.intercariforef.org/formations/certification-88475.html","88475")</f>
        <v>88475</v>
      </c>
      <c r="F431" s="1">
        <v>42464</v>
      </c>
      <c r="G431" s="1">
        <v>42464</v>
      </c>
    </row>
    <row r="432">
      <c r="A432" t="str">
        <v>Energie</v>
      </c>
      <c r="B432" t="str">
        <v>Installation solaire collective de production d'eau chaude sanitaire</v>
      </c>
      <c r="C432" t="str">
        <v>Qualit'EnR</v>
      </c>
      <c r="D432" t="str">
        <f>HYPERLINK("https://inventaire.cncp.gouv.fr/fiches/1848/","1848")</f>
        <v>1848</v>
      </c>
      <c r="E432" t="str">
        <f>HYPERLINK("http://www.intercariforef.org/formations/certification-88405.html","88405")</f>
        <v>88405</v>
      </c>
      <c r="F432" s="1">
        <v>42461</v>
      </c>
      <c r="G432" s="1">
        <v>42461</v>
      </c>
    </row>
    <row r="433">
      <c r="A433" t="str">
        <v>Energie</v>
      </c>
      <c r="B433" t="str">
        <v>Management de l'énergie en entreprise</v>
      </c>
      <c r="C433" t="str">
        <v>Édition formation entreprise (EFE)</v>
      </c>
      <c r="D433" t="str">
        <f>HYPERLINK("https://inventaire.cncp.gouv.fr/fiches/3302/","3302")</f>
        <v>3302</v>
      </c>
      <c r="E433" t="str">
        <f>HYPERLINK("http://www.intercariforef.org/formations/certification-104019.html","104019")</f>
        <v>104019</v>
      </c>
      <c r="F433" s="1">
        <v>43392</v>
      </c>
      <c r="G433" s="1">
        <v>43392</v>
      </c>
    </row>
    <row r="434">
      <c r="A434" t="str">
        <v>Energie</v>
      </c>
      <c r="B434" t="str">
        <v>Management et finance des marchés de l'énergie</v>
      </c>
      <c r="C434" t="str">
        <v>Ecole polytechnique</v>
      </c>
      <c r="D434" t="str">
        <f>HYPERLINK("https://inventaire.cncp.gouv.fr/fiches/1217/","1217")</f>
        <v>1217</v>
      </c>
      <c r="E434" t="str">
        <f>HYPERLINK("http://www.intercariforef.org/formations/certification-86348.html","86348")</f>
        <v>86348</v>
      </c>
      <c r="F434" s="1">
        <v>42340</v>
      </c>
      <c r="G434" s="1">
        <v>42340</v>
      </c>
    </row>
    <row r="435">
      <c r="A435" t="str">
        <v>Energie</v>
      </c>
      <c r="B435" t="str">
        <v>Piloter une démarche d'efficacité énergétique selon la norme ISO 50001</v>
      </c>
      <c r="C435" t="str">
        <v>Efficacité21 - Transition21</v>
      </c>
      <c r="D435" t="str">
        <f>HYPERLINK("https://inventaire.cncp.gouv.fr/fiches/2729/","2729")</f>
        <v>2729</v>
      </c>
      <c r="E435" t="str">
        <f>HYPERLINK("http://www.intercariforef.org/formations/certification-97081.html","97081")</f>
        <v>97081</v>
      </c>
      <c r="F435" s="1">
        <v>42978</v>
      </c>
      <c r="G435" s="1">
        <v>42978</v>
      </c>
    </row>
    <row r="436">
      <c r="A436" t="str">
        <v>Energie</v>
      </c>
      <c r="B436" t="str">
        <v>Pompe à chaleur en habitat individuel</v>
      </c>
      <c r="C436" t="str">
        <v>Qualit'EnR</v>
      </c>
      <c r="D436" t="str">
        <f>HYPERLINK("https://inventaire.cncp.gouv.fr/fiches/1844/","1844")</f>
        <v>1844</v>
      </c>
      <c r="E436" t="str">
        <f>HYPERLINK("http://www.intercariforef.org/formations/certification-88399.html","88399")</f>
        <v>88399</v>
      </c>
      <c r="F436" s="1">
        <v>42461</v>
      </c>
      <c r="G436" s="1">
        <v>42461</v>
      </c>
    </row>
    <row r="437">
      <c r="A437" t="str">
        <v>Energie</v>
      </c>
      <c r="B437" t="str">
        <v>Premier Niveau en Radioprotection</v>
      </c>
      <c r="C437" t="str">
        <v>Institut national des sciences et techniques nucléaires (INSTN) - Gif-sur-Yvette</v>
      </c>
      <c r="D437" t="str">
        <f>HYPERLINK("https://inventaire.cncp.gouv.fr/fiches/277/","277")</f>
        <v>277</v>
      </c>
      <c r="E437" t="str">
        <f>HYPERLINK("http://www.intercariforef.org/formations/certification-85711.html","85711")</f>
        <v>85711</v>
      </c>
      <c r="F437" s="1">
        <v>42275</v>
      </c>
      <c r="G437" s="1">
        <v>42979</v>
      </c>
    </row>
    <row r="438" ht="26.2" customHeight="1">
      <c r="A438" t="str">
        <v>Environnement aménagement</v>
      </c>
      <c r="B438" t="str">
        <v>Certificat d'acquis professionnels responsable développement durable et responsabilité sociétale</v>
      </c>
      <c r="C438" t="str">
        <v>AFNOR</v>
      </c>
      <c r="D438" t="str">
        <f>HYPERLINK("https://inventaire.cncp.gouv.fr/fiches/1769/","1769")</f>
        <v>1769</v>
      </c>
      <c r="E438" t="str">
        <f>HYPERLINK("http://www.intercariforef.org/formations/certification-93869.html","93869")</f>
        <v>93869</v>
      </c>
      <c r="F438" s="1">
        <v>42744</v>
      </c>
      <c r="G438" s="1">
        <v>43152</v>
      </c>
    </row>
    <row r="439">
      <c r="A439" t="str">
        <v>Environnement aménagement</v>
      </c>
      <c r="B439" t="str">
        <v>Certificat d'acquis professionnels Responsable Environnement ISO 14001</v>
      </c>
      <c r="C439" t="str">
        <v>AFNOR</v>
      </c>
      <c r="D439" t="str">
        <f>HYPERLINK("https://inventaire.cncp.gouv.fr/fiches/1761/","1761")</f>
        <v>1761</v>
      </c>
      <c r="E439" t="str">
        <f>HYPERLINK("http://www.intercariforef.org/formations/certification-95253.html","95253")</f>
        <v>95253</v>
      </c>
      <c r="F439" s="1">
        <v>42851</v>
      </c>
      <c r="G439" s="1">
        <v>43152</v>
      </c>
    </row>
    <row r="440">
      <c r="A440" t="str">
        <v>Environnement aménagement</v>
      </c>
      <c r="B440" t="str">
        <v>Certificat de formateur Catec®</v>
      </c>
      <c r="C440" t="str">
        <v>Caisse Nationale de l'Assurance Maladie des Travailleurs (CNAMTS)</v>
      </c>
      <c r="D440" t="str">
        <f>HYPERLINK("https://inventaire.cncp.gouv.fr/fiches/1719/","1719")</f>
        <v>1719</v>
      </c>
      <c r="E440" t="str">
        <f>HYPERLINK("http://www.intercariforef.org/formations/certification-88115.html","88115")</f>
        <v>88115</v>
      </c>
      <c r="F440" s="1">
        <v>42445</v>
      </c>
      <c r="G440" s="1">
        <v>42979</v>
      </c>
    </row>
    <row r="441" ht="26.2" customHeight="1">
      <c r="A441" t="str">
        <v>Environnement aménagement</v>
      </c>
      <c r="B441" t="str">
        <v>Développement Durable et Qualité Environnementale en Aménagement du Territoire, Urbanisme, Architecture et Construction</v>
      </c>
      <c r="C441" t="str">
        <v>Les 2 Rives - SCOP</v>
      </c>
      <c r="D441" t="str">
        <f>HYPERLINK("https://inventaire.cncp.gouv.fr/fiches/2869/","2869")</f>
        <v>2869</v>
      </c>
      <c r="E441" t="str">
        <f>HYPERLINK("http://www.intercariforef.org/formations/certification-98549.html","98549")</f>
        <v>98549</v>
      </c>
      <c r="F441" s="1">
        <v>43034</v>
      </c>
      <c r="G441" s="1">
        <v>43034</v>
      </c>
    </row>
    <row r="442" ht="26.2" customHeight="1">
      <c r="A442" t="str">
        <v>Environnement aménagement</v>
      </c>
      <c r="B442" t="str">
        <v>DU évaluateur de la sécurité toxicologique pour les produits chimiques et cosmétiques spécialité toxicologie - évaluation des risques</v>
      </c>
      <c r="C442" t="str">
        <v>Ministère de l'enseignement supérieur, de la recherche et de l'innovation, Université Paris Descartes - Paris 5</v>
      </c>
      <c r="D442" t="str">
        <f>HYPERLINK("https://inventaire.cncp.gouv.fr/fiches/2332/","2332")</f>
        <v>2332</v>
      </c>
      <c r="E442" t="str">
        <f>HYPERLINK("http://www.intercariforef.org/formations/certification-92109.html","92109")</f>
        <v>92109</v>
      </c>
      <c r="F442" s="1">
        <v>42667</v>
      </c>
      <c r="G442" s="1">
        <v>43125</v>
      </c>
    </row>
    <row r="443">
      <c r="A443" t="str">
        <v>Environnement aménagement</v>
      </c>
      <c r="B443" t="str">
        <v>Expert en efficacité énergétique des bâtiments</v>
      </c>
      <c r="C443" t="str">
        <v>AFNOR</v>
      </c>
      <c r="D443" t="str">
        <f>HYPERLINK("https://inventaire.cncp.gouv.fr/fiches/1289/","1289")</f>
        <v>1289</v>
      </c>
      <c r="E443" t="str">
        <f>HYPERLINK("http://www.intercariforef.org/formations/certification-85486.html","85486")</f>
        <v>85486</v>
      </c>
      <c r="F443" s="1">
        <v>42264</v>
      </c>
      <c r="G443" s="1">
        <v>43152</v>
      </c>
    </row>
    <row r="444">
      <c r="A444" t="str">
        <v>Environnement aménagement</v>
      </c>
      <c r="B444" t="str">
        <v>Expert en efficacité énergétique industrielle</v>
      </c>
      <c r="C444" t="str">
        <v>AFNOR</v>
      </c>
      <c r="D444" t="str">
        <f>HYPERLINK("https://inventaire.cncp.gouv.fr/fiches/1292/","1292")</f>
        <v>1292</v>
      </c>
      <c r="E444" t="str">
        <f>HYPERLINK("http://www.intercariforef.org/formations/certification-85487.html","85487")</f>
        <v>85487</v>
      </c>
      <c r="F444" s="1">
        <v>42264</v>
      </c>
      <c r="G444" s="1">
        <v>43152</v>
      </c>
    </row>
    <row r="445">
      <c r="A445" t="str">
        <v>Environnement aménagement</v>
      </c>
      <c r="B445" t="str">
        <v>Médiation de l'architecture contemporaine (DIE)</v>
      </c>
      <c r="C445" t="str">
        <v>Université de Bordeaux</v>
      </c>
      <c r="D445" t="str">
        <f>HYPERLINK("https://inventaire.cncp.gouv.fr/fiches/3510/","3510")</f>
        <v>3510</v>
      </c>
      <c r="E445" t="str">
        <f>HYPERLINK("http://www.intercariforef.org/formations/certification-100831.html","100831")</f>
        <v>100831</v>
      </c>
      <c r="F445" s="1">
        <v>43209</v>
      </c>
      <c r="G445" s="1">
        <v>43209</v>
      </c>
    </row>
    <row r="446">
      <c r="A446" t="str">
        <v>Environnement aménagement</v>
      </c>
      <c r="B446" t="str">
        <v>Parcours Construire des projets environnementaux (DIU)</v>
      </c>
      <c r="C446" t="str">
        <v>Université Rennes 1</v>
      </c>
      <c r="D446" t="str">
        <f>HYPERLINK("https://inventaire.cncp.gouv.fr/fiches/3904/","3904")</f>
        <v>3904</v>
      </c>
      <c r="E446" t="str">
        <f>HYPERLINK("http://www.intercariforef.org/formations/certification-103933.html","103933")</f>
        <v>103933</v>
      </c>
      <c r="F446" s="1">
        <v>43390</v>
      </c>
      <c r="G446" s="1">
        <v>43390</v>
      </c>
    </row>
    <row r="447">
      <c r="A447" t="str">
        <v>Environnement aménagement</v>
      </c>
      <c r="B447" t="str">
        <v>Traitement des eaux</v>
      </c>
      <c r="C447" t="str">
        <v>BWT - France</v>
      </c>
      <c r="D447" t="str">
        <f>HYPERLINK("https://inventaire.cncp.gouv.fr/fiches/2207/","2207")</f>
        <v>2207</v>
      </c>
      <c r="E447" t="str">
        <f>HYPERLINK("http://www.intercariforef.org/formations/certification-91897.html","91897")</f>
        <v>91897</v>
      </c>
      <c r="F447" s="1">
        <v>42662</v>
      </c>
      <c r="G447" s="1">
        <v>42662</v>
      </c>
    </row>
    <row r="448" ht="26.2" customHeight="1">
      <c r="A448" t="str">
        <v>Génie climatique</v>
      </c>
      <c r="B448" t="str">
        <v>Attestation d'aptitude à la manipulation des fluides frigorigènes - catégorie 1</v>
      </c>
      <c r="C448" t="str">
        <v>Bureau Veritas, Global Conseil, Groupe SGS France, Ministère de la transition écologique et solidaire</v>
      </c>
      <c r="D448" t="str">
        <f>HYPERLINK("https://inventaire.cncp.gouv.fr/fiches/1741/","1741")</f>
        <v>1741</v>
      </c>
      <c r="E448" t="str">
        <f>HYPERLINK("http://www.intercariforef.org/formations/certification-72064.html","72064")</f>
        <v>72064</v>
      </c>
      <c r="F448" s="1">
        <v>40520</v>
      </c>
      <c r="G448" s="1">
        <v>43111</v>
      </c>
    </row>
    <row r="449" ht="26.2" customHeight="1">
      <c r="A449" t="str">
        <v>Génie climatique</v>
      </c>
      <c r="B449" t="str">
        <v>Attestation d'aptitude à la manipulation des fluides frigorigènes - catégorie 2</v>
      </c>
      <c r="C449" t="str">
        <v>Bureau Veritas, Global Conseil, Groupe SGS France, Ministère de la transition écologique et solidaire</v>
      </c>
      <c r="D449" t="str">
        <f>HYPERLINK("https://inventaire.cncp.gouv.fr/fiches/1741/","1741")</f>
        <v>1741</v>
      </c>
      <c r="E449" t="str">
        <f>HYPERLINK("http://www.intercariforef.org/formations/certification-72069.html","72069")</f>
        <v>72069</v>
      </c>
      <c r="F449" s="1">
        <v>40520</v>
      </c>
      <c r="G449" s="1">
        <v>43111</v>
      </c>
    </row>
    <row r="450" ht="26.2" customHeight="1">
      <c r="A450" t="str">
        <v>Génie climatique</v>
      </c>
      <c r="B450" t="str">
        <v>Attestation d'aptitude à la manipulation des fluides frigorigènes - catégorie 3</v>
      </c>
      <c r="C450" t="str">
        <v>Bureau Veritas, Global Conseil, Groupe SGS France, Ministère de la transition écologique et solidaire</v>
      </c>
      <c r="D450" t="str">
        <f>HYPERLINK("https://inventaire.cncp.gouv.fr/fiches/1741/","1741")</f>
        <v>1741</v>
      </c>
      <c r="E450" t="str">
        <f>HYPERLINK("http://www.intercariforef.org/formations/certification-72072.html","72072")</f>
        <v>72072</v>
      </c>
      <c r="F450" s="1">
        <v>40520</v>
      </c>
      <c r="G450" s="1">
        <v>43111</v>
      </c>
    </row>
    <row r="451" ht="26.2" customHeight="1">
      <c r="A451" t="str">
        <v>Génie climatique</v>
      </c>
      <c r="B451" t="str">
        <v>Attestation d'aptitude à la manipulation des fluides frigorigènes - catégorie 4</v>
      </c>
      <c r="C451" t="str">
        <v>Bureau Veritas, Global Conseil, Groupe SGS France, Ministère de la transition écologique et solidaire</v>
      </c>
      <c r="D451" t="str">
        <f>HYPERLINK("https://inventaire.cncp.gouv.fr/fiches/1741/","1741")</f>
        <v>1741</v>
      </c>
      <c r="E451" t="str">
        <f>HYPERLINK("http://www.intercariforef.org/formations/certification-72073.html","72073")</f>
        <v>72073</v>
      </c>
      <c r="F451" s="1">
        <v>40520</v>
      </c>
      <c r="G451" s="1">
        <v>43111</v>
      </c>
    </row>
    <row r="452" ht="26.2" customHeight="1">
      <c r="A452" t="str">
        <v>Génie climatique</v>
      </c>
      <c r="B452" t="str">
        <v>Attestation d'aptitude à la manipulation des fluides frigorigènes - catégorie 5</v>
      </c>
      <c r="C452" t="str">
        <v>Bureau Veritas, Global Conseil, Groupe SGS France, Ministère de la transition écologique et solidaire</v>
      </c>
      <c r="D452" t="str">
        <f>HYPERLINK("https://inventaire.cncp.gouv.fr/fiches/1741/","1741")</f>
        <v>1741</v>
      </c>
      <c r="E452" t="str">
        <f>HYPERLINK("http://www.intercariforef.org/formations/certification-72074.html","72074")</f>
        <v>72074</v>
      </c>
      <c r="F452" s="1">
        <v>40520</v>
      </c>
      <c r="G452" s="1">
        <v>43111</v>
      </c>
    </row>
    <row r="453" ht="26.2" customHeight="1">
      <c r="A453" t="str">
        <v>Génie climatique</v>
      </c>
      <c r="B453" t="str">
        <v>Attestation d'aptitude concernant les installations de gaz situées à l'intérieur des bâtiments d'habitation ou de leurs dépendances</v>
      </c>
      <c r="C453" t="str">
        <v>Comité français d'accréditation</v>
      </c>
      <c r="D453" t="str">
        <f>HYPERLINK("https://inventaire.cncp.gouv.fr/fiches/1318/","1318")</f>
        <v>1318</v>
      </c>
      <c r="E453" t="str">
        <f>HYPERLINK("http://www.intercariforef.org/formations/certification-86219.html","86219")</f>
        <v>86219</v>
      </c>
      <c r="F453" s="1">
        <v>42320</v>
      </c>
      <c r="G453" s="1">
        <v>42320</v>
      </c>
    </row>
    <row r="454">
      <c r="A454" t="str">
        <v>Génie climatique</v>
      </c>
      <c r="B454" t="str">
        <v>Certification de Compétence d'Ingénieur Professionnel en Climatisation</v>
      </c>
      <c r="C454" t="str">
        <v>Société Nationale des Ingénieurs Professionnels de France</v>
      </c>
      <c r="D454" t="str">
        <f>HYPERLINK("https://inventaire.cncp.gouv.fr/fiches/2907/","2907")</f>
        <v>2907</v>
      </c>
      <c r="E454" t="str">
        <f>HYPERLINK("http://www.intercariforef.org/formations/certification-98631.html","98631")</f>
        <v>98631</v>
      </c>
      <c r="F454" s="1">
        <v>43038</v>
      </c>
      <c r="G454" s="1">
        <v>43038</v>
      </c>
    </row>
    <row r="455">
      <c r="A455" t="str">
        <v>Génie climatique</v>
      </c>
      <c r="B455" t="str">
        <v>Chauffe-eau solaire individuel</v>
      </c>
      <c r="C455" t="str">
        <v>Qualit'EnR</v>
      </c>
      <c r="D455" t="str">
        <f>HYPERLINK("https://inventaire.cncp.gouv.fr/fiches/1828/","1828")</f>
        <v>1828</v>
      </c>
      <c r="E455" t="str">
        <f>HYPERLINK("http://www.intercariforef.org/formations/certification-88389.html","88389")</f>
        <v>88389</v>
      </c>
      <c r="F455" s="1">
        <v>42461</v>
      </c>
      <c r="G455" s="1">
        <v>42461</v>
      </c>
    </row>
    <row r="456">
      <c r="A456" t="str">
        <v>Génie climatique</v>
      </c>
      <c r="B456" t="str">
        <v>Chauffe-eau thermodynamique individuel</v>
      </c>
      <c r="C456" t="str">
        <v>Qualit'EnR</v>
      </c>
      <c r="D456" t="str">
        <f>HYPERLINK("https://inventaire.cncp.gouv.fr/fiches/1845/","1845")</f>
        <v>1845</v>
      </c>
      <c r="E456" t="str">
        <f>HYPERLINK("http://www.intercariforef.org/formations/certification-88469.html","88469")</f>
        <v>88469</v>
      </c>
      <c r="F456" s="1">
        <v>42464</v>
      </c>
      <c r="G456" s="1">
        <v>42464</v>
      </c>
    </row>
    <row r="457" ht="26.2" customHeight="1">
      <c r="A457" t="str">
        <v>Génie climatique</v>
      </c>
      <c r="B457" t="str">
        <v>Habilitation à la conduite et à la maintenance des installations frigorifiques embarquées à ammoniac à bord des navires</v>
      </c>
      <c r="C457" t="str">
        <v>Ministère de la transition écologique et solidaire</v>
      </c>
      <c r="D457" t="str">
        <f>HYPERLINK("https://inventaire.cncp.gouv.fr/fiches/733/","733")</f>
        <v>733</v>
      </c>
      <c r="E457" t="str">
        <f>HYPERLINK("http://www.intercariforef.org/formations/certification-84697.html","84697")</f>
        <v>84697</v>
      </c>
      <c r="F457" s="1">
        <v>42156</v>
      </c>
      <c r="G457" s="1">
        <v>43111</v>
      </c>
    </row>
    <row r="458">
      <c r="A458" t="str">
        <v>Génie climatique</v>
      </c>
      <c r="B458" t="str">
        <v>Système solaire combiné</v>
      </c>
      <c r="C458" t="str">
        <v>Qualit'EnR</v>
      </c>
      <c r="D458" t="str">
        <f>HYPERLINK("https://inventaire.cncp.gouv.fr/fiches/1842/","1842")</f>
        <v>1842</v>
      </c>
      <c r="E458" t="str">
        <f>HYPERLINK("http://www.intercariforef.org/formations/certification-88391.html","88391")</f>
        <v>88391</v>
      </c>
      <c r="F458" s="1">
        <v>42461</v>
      </c>
      <c r="G458" s="1">
        <v>42461</v>
      </c>
    </row>
    <row r="459">
      <c r="A459" t="str">
        <v>Gestion commerciale</v>
      </c>
      <c r="B459" t="str">
        <v>Acheter en entreprise</v>
      </c>
      <c r="C459" t="str">
        <v>DEMOS</v>
      </c>
      <c r="D459" t="str">
        <f>HYPERLINK("https://inventaire.cncp.gouv.fr/fiches/2773/","2773")</f>
        <v>2773</v>
      </c>
      <c r="E459" t="str">
        <f>HYPERLINK("http://www.intercariforef.org/formations/certification-95645.html","95645")</f>
        <v>95645</v>
      </c>
      <c r="F459" s="1">
        <v>42893</v>
      </c>
      <c r="G459" s="1">
        <v>42893</v>
      </c>
    </row>
    <row r="460">
      <c r="A460" t="str">
        <v>Gestion commerciale</v>
      </c>
      <c r="B460" t="str">
        <v>Acquisition de trafic web</v>
      </c>
      <c r="C460" t="str">
        <v>Institut supérieur du marketing</v>
      </c>
      <c r="D460" t="str">
        <f>HYPERLINK("https://inventaire.cncp.gouv.fr/fiches/2318/","2318")</f>
        <v>2318</v>
      </c>
      <c r="E460" t="str">
        <f>HYPERLINK("http://www.intercariforef.org/formations/certification-94787.html","94787")</f>
        <v>94787</v>
      </c>
      <c r="F460" s="1">
        <v>42835</v>
      </c>
      <c r="G460" s="1">
        <v>42836</v>
      </c>
    </row>
    <row r="461">
      <c r="A461" t="str">
        <v>Gestion commerciale</v>
      </c>
      <c r="B461" t="str">
        <v>AUSSIES - Webmarketing</v>
      </c>
      <c r="C461" t="str">
        <v>Foster Academy</v>
      </c>
      <c r="D461" t="str">
        <f>HYPERLINK("https://inventaire.cncp.gouv.fr/fiches/2291/","2291")</f>
        <v>2291</v>
      </c>
      <c r="E461" t="str">
        <f>HYPERLINK("http://www.intercariforef.org/formations/certification-93985.html","93985")</f>
        <v>93985</v>
      </c>
      <c r="F461" s="1">
        <v>42745</v>
      </c>
      <c r="G461" s="1">
        <v>42745</v>
      </c>
    </row>
    <row r="462">
      <c r="A462" t="str">
        <v>Gestion commerciale</v>
      </c>
      <c r="B462" t="str">
        <v>Capacité à l'analyse de données CRM multicanal</v>
      </c>
      <c r="C462" t="str">
        <v>Association Francophone de Management Electronique</v>
      </c>
      <c r="D462" t="str">
        <f>HYPERLINK("https://inventaire.cncp.gouv.fr/fiches/3174/","3174")</f>
        <v>3174</v>
      </c>
      <c r="E462" t="str">
        <f>HYPERLINK("http://www.intercariforef.org/formations/certification-100125.html","100125")</f>
        <v>100125</v>
      </c>
      <c r="F462" s="1">
        <v>43153</v>
      </c>
      <c r="G462" s="1">
        <v>43153</v>
      </c>
    </row>
    <row r="463">
      <c r="A463" t="str">
        <v>Gestion commerciale</v>
      </c>
      <c r="B463" t="str">
        <v>Certificat d'analyse des enjeux de la transition numérique</v>
      </c>
      <c r="C463" t="str">
        <v>La WAB - Web Association Bergerac</v>
      </c>
      <c r="D463" t="str">
        <f>HYPERLINK("https://inventaire.cncp.gouv.fr/fiches/2929/","2929")</f>
        <v>2929</v>
      </c>
      <c r="E463" t="str">
        <f>HYPERLINK("http://www.intercariforef.org/formations/certification-96535.html","96535")</f>
        <v>96535</v>
      </c>
      <c r="F463" s="1">
        <v>42928</v>
      </c>
      <c r="G463" s="1">
        <v>42928</v>
      </c>
    </row>
    <row r="464">
      <c r="A464" t="str">
        <v>Gestion commerciale</v>
      </c>
      <c r="B464" t="str">
        <v>Certificat d'aptitude à la gestion des déplacements professionnels (CAGDP)</v>
      </c>
      <c r="C464" t="str">
        <v>Association française des travel managers</v>
      </c>
      <c r="D464" t="str">
        <f>HYPERLINK("https://inventaire.cncp.gouv.fr/fiches/583/","583")</f>
        <v>583</v>
      </c>
      <c r="E464" t="str">
        <f>HYPERLINK("http://www.intercariforef.org/formations/certification-86487.html","86487")</f>
        <v>86487</v>
      </c>
      <c r="F464" s="1">
        <v>42345</v>
      </c>
      <c r="G464" s="1">
        <v>42345</v>
      </c>
    </row>
    <row r="465">
      <c r="A465" t="str">
        <v>Gestion commerciale</v>
      </c>
      <c r="B465" t="str">
        <v>Certificat de capacité à l'élaboration d'une stratégie marketing digitale</v>
      </c>
      <c r="C465" t="str">
        <v>La WAB - Web Association Bergerac</v>
      </c>
      <c r="D465" t="str">
        <f>HYPERLINK("https://inventaire.cncp.gouv.fr/fiches/2954/","2954")</f>
        <v>2954</v>
      </c>
      <c r="E465" t="str">
        <f>HYPERLINK("http://www.intercariforef.org/formations/certification-96525.html","96525")</f>
        <v>96525</v>
      </c>
      <c r="F465" s="1">
        <v>42928</v>
      </c>
      <c r="G465" s="1">
        <v>42928</v>
      </c>
    </row>
    <row r="466">
      <c r="A466" t="str">
        <v>Gestion commerciale</v>
      </c>
      <c r="B466" t="str">
        <v>Certificat de compétences des services relation client</v>
      </c>
      <c r="C466" t="str">
        <v>CPNE des organismes de formation</v>
      </c>
      <c r="D466" t="str">
        <f>HYPERLINK("https://inventaire.cncp.gouv.fr/fiches/92/","92")</f>
        <v>92</v>
      </c>
      <c r="E466" t="str">
        <f>HYPERLINK("http://www.intercariforef.org/formations/certification-84696.html","84696")</f>
        <v>84696</v>
      </c>
      <c r="F466" s="1">
        <v>42156</v>
      </c>
      <c r="G466" s="1">
        <v>42156</v>
      </c>
    </row>
    <row r="467">
      <c r="A467" t="str">
        <v>Gestion commerciale</v>
      </c>
      <c r="B467" t="str">
        <v>Certificat de Compétences en Entreprise (CCE) "Mener une négociation commerciale"</v>
      </c>
      <c r="C467" t="str">
        <v>CCI France - Assemblée des chambres françaises de commerce et d'industrie</v>
      </c>
      <c r="D467" t="str">
        <f>HYPERLINK("https://inventaire.cncp.gouv.fr/fiches/115/","115")</f>
        <v>115</v>
      </c>
      <c r="E467" t="str">
        <f>HYPERLINK("http://www.intercariforef.org/formations/certification-85535.html","85535")</f>
        <v>85535</v>
      </c>
      <c r="F467" s="1">
        <v>42269</v>
      </c>
      <c r="G467" s="1">
        <v>43293</v>
      </c>
    </row>
    <row r="468" ht="26.2" customHeight="1">
      <c r="A468" t="str">
        <v>Gestion commerciale</v>
      </c>
      <c r="B468" t="str">
        <v>Certificat de compétences en entreprise (CCE) Exercer la mission d'organisation et de suivi des achats</v>
      </c>
      <c r="C468" t="str">
        <v>CCI France - Assemblée des chambres françaises de commerce et d'industrie</v>
      </c>
      <c r="D468" t="str">
        <f>HYPERLINK("https://inventaire.cncp.gouv.fr/fiches/3808/","3808")</f>
        <v>3808</v>
      </c>
      <c r="E468" t="str">
        <f>HYPERLINK("http://www.intercariforef.org/formations/certification-102167.html","102167")</f>
        <v>102167</v>
      </c>
      <c r="F468" s="1">
        <v>43293</v>
      </c>
      <c r="G468" s="1">
        <v>43293</v>
      </c>
    </row>
    <row r="469" ht="26.2" customHeight="1">
      <c r="A469" t="str">
        <v>Gestion commerciale</v>
      </c>
      <c r="B469" t="str">
        <v>Certificat de compétences en entreprise (CCE) Mettre en oeuvre des actions de communication numérique dans l'entreprise</v>
      </c>
      <c r="C469" t="str">
        <v>CCI France - Assemblée des chambres françaises de commerce et d'industrie</v>
      </c>
      <c r="D469" t="str">
        <f>HYPERLINK("https://inventaire.cncp.gouv.fr/fiches/3810/","3810")</f>
        <v>3810</v>
      </c>
      <c r="E469" t="str">
        <f>HYPERLINK("http://www.intercariforef.org/formations/certification-102163.html","102163")</f>
        <v>102163</v>
      </c>
      <c r="F469" s="1">
        <v>43293</v>
      </c>
      <c r="G469" s="1">
        <v>43293</v>
      </c>
    </row>
    <row r="470">
      <c r="A470" t="str">
        <v>Gestion commerciale</v>
      </c>
      <c r="B470" t="str">
        <v>Certification compétences webmarketing et communication Web</v>
      </c>
      <c r="C470" t="str">
        <v>StarTech Normandy</v>
      </c>
      <c r="D470" t="str">
        <f>HYPERLINK("https://inventaire.cncp.gouv.fr/fiches/3065/","3065")</f>
        <v>3065</v>
      </c>
      <c r="E470" t="str">
        <f>HYPERLINK("http://www.intercariforef.org/formations/certification-100167.html","100167")</f>
        <v>100167</v>
      </c>
      <c r="F470" s="1">
        <v>43154</v>
      </c>
      <c r="G470" s="1">
        <v>43154</v>
      </c>
    </row>
    <row r="471" ht="26.2" customHeight="1">
      <c r="A471" t="str">
        <v>Gestion commerciale</v>
      </c>
      <c r="B471" t="str">
        <v>Certification de compétences pour les personnes en charge du Service Après-Vente et Production Service Client</v>
      </c>
      <c r="C471" t="str">
        <v>Global Knowledge</v>
      </c>
      <c r="D471" t="str">
        <f>HYPERLINK("https://inventaire.cncp.gouv.fr/fiches/2431/","2431")</f>
        <v>2431</v>
      </c>
      <c r="E471" t="str">
        <f>HYPERLINK("http://www.intercariforef.org/formations/certification-94943.html","94943")</f>
        <v>94943</v>
      </c>
      <c r="F471" s="1">
        <v>42837</v>
      </c>
      <c r="G471" s="1">
        <v>42837</v>
      </c>
    </row>
    <row r="472">
      <c r="A472" t="str">
        <v>Gestion commerciale</v>
      </c>
      <c r="B472" t="str">
        <v>Certification Marketing Digital</v>
      </c>
      <c r="C472" t="str">
        <v>TalenCo</v>
      </c>
      <c r="D472" t="str">
        <f>HYPERLINK("https://inventaire.cncp.gouv.fr/fiches/2269/","2269")</f>
        <v>2269</v>
      </c>
      <c r="E472" t="str">
        <f>HYPERLINK("http://www.intercariforef.org/formations/certification-92121.html","92121")</f>
        <v>92121</v>
      </c>
      <c r="F472" s="1">
        <v>42667</v>
      </c>
      <c r="G472" s="1">
        <v>42667</v>
      </c>
    </row>
    <row r="473">
      <c r="A473" t="str">
        <v>Gestion commerciale</v>
      </c>
      <c r="B473" t="str">
        <v>Certification marketing digital &amp; stratégie digitale</v>
      </c>
      <c r="C473" t="str">
        <v>Naïas Formation Paris</v>
      </c>
      <c r="D473" t="str">
        <f>HYPERLINK("https://inventaire.cncp.gouv.fr/fiches/1744/","1744")</f>
        <v>1744</v>
      </c>
      <c r="E473" t="str">
        <f>HYPERLINK("http://www.intercariforef.org/formations/certification-90019.html","90019")</f>
        <v>90019</v>
      </c>
      <c r="F473" s="1">
        <v>42558</v>
      </c>
      <c r="G473" s="1">
        <v>42558</v>
      </c>
    </row>
    <row r="474">
      <c r="A474" t="str">
        <v>Gestion commerciale</v>
      </c>
      <c r="B474" t="str">
        <v>Collaborateur digital</v>
      </c>
      <c r="C474" t="str">
        <v>Akor consulting</v>
      </c>
      <c r="D474" t="str">
        <f>HYPERLINK("https://inventaire.cncp.gouv.fr/fiches/2424/","2424")</f>
        <v>2424</v>
      </c>
      <c r="E474" t="str">
        <f>HYPERLINK("http://www.intercariforef.org/formations/certification-94815.html","94815")</f>
        <v>94815</v>
      </c>
      <c r="F474" s="1">
        <v>42836</v>
      </c>
      <c r="G474" s="1">
        <v>42836</v>
      </c>
    </row>
    <row r="475" ht="26.2" customHeight="1">
      <c r="A475" t="str">
        <v>Gestion commerciale</v>
      </c>
      <c r="B475" t="str">
        <v>Créer, optimiser et dynamiser la stratégie webmarketing et communication numérique d'une organisation</v>
      </c>
      <c r="C475" t="str">
        <v>VISIPLUS academy</v>
      </c>
      <c r="D475" t="str">
        <f>HYPERLINK("https://inventaire.cncp.gouv.fr/fiches/3831/","3831")</f>
        <v>3831</v>
      </c>
      <c r="E475" t="str">
        <f>HYPERLINK("http://www.intercariforef.org/formations/certification-104145.html","104145")</f>
        <v>104145</v>
      </c>
      <c r="F475" s="1">
        <v>43398</v>
      </c>
      <c r="G475" s="1">
        <v>43398</v>
      </c>
    </row>
    <row r="476">
      <c r="A476" t="str">
        <v>Gestion commerciale</v>
      </c>
      <c r="B476" t="str">
        <v>De l'expérience à l'excellence client : Mobiliser ses compétences et développer ses talents</v>
      </c>
      <c r="C476" t="str">
        <v>Académie du Service</v>
      </c>
      <c r="D476" t="str">
        <f>HYPERLINK("https://inventaire.cncp.gouv.fr/fiches/3400/","3400")</f>
        <v>3400</v>
      </c>
      <c r="E476" t="str">
        <f>HYPERLINK("http://www.intercariforef.org/formations/certification-100171.html","100171")</f>
        <v>100171</v>
      </c>
      <c r="F476" s="1">
        <v>43154</v>
      </c>
      <c r="G476" s="1">
        <v>43154</v>
      </c>
    </row>
    <row r="477">
      <c r="A477" t="str">
        <v>Gestion commerciale</v>
      </c>
      <c r="B477" t="str">
        <v>Déployer et optimiser une stratégie de marketing de contenu sur le web et les médias sociaux</v>
      </c>
      <c r="C477" t="str">
        <v>VISIPLUS academy</v>
      </c>
      <c r="D477" t="str">
        <f>HYPERLINK("https://inventaire.cncp.gouv.fr/fiches/3829/","3829")</f>
        <v>3829</v>
      </c>
      <c r="E477" t="str">
        <f>HYPERLINK("http://www.intercariforef.org/formations/certification-104147.html","104147")</f>
        <v>104147</v>
      </c>
      <c r="F477" s="1">
        <v>43398</v>
      </c>
      <c r="G477" s="1">
        <v>43398</v>
      </c>
    </row>
    <row r="478">
      <c r="A478" t="str">
        <v>Gestion commerciale</v>
      </c>
      <c r="B478" t="str">
        <v>Développement, intégration et codage de pages Web</v>
      </c>
      <c r="C478" t="str">
        <v>M2I Formation</v>
      </c>
      <c r="D478" t="str">
        <f>HYPERLINK("https://inventaire.cncp.gouv.fr/fiches/2450/","2450")</f>
        <v>2450</v>
      </c>
      <c r="E478" t="str">
        <f>HYPERLINK("http://www.intercariforef.org/formations/certification-93853.html","93853")</f>
        <v>93853</v>
      </c>
      <c r="F478" s="1">
        <v>42744</v>
      </c>
      <c r="G478" s="1">
        <v>42744</v>
      </c>
    </row>
    <row r="479">
      <c r="A479" t="str">
        <v>Gestion commerciale</v>
      </c>
      <c r="B479" t="str">
        <v>Direction commerciale</v>
      </c>
      <c r="C479" t="str">
        <v>HEC Paris</v>
      </c>
      <c r="D479" t="str">
        <f>HYPERLINK("https://inventaire.cncp.gouv.fr/fiches/3045/","3045")</f>
        <v>3045</v>
      </c>
      <c r="E479" t="str">
        <f>HYPERLINK("http://www.intercariforef.org/formations/certification-96473.html","96473")</f>
        <v>96473</v>
      </c>
      <c r="F479" s="1">
        <v>42928</v>
      </c>
      <c r="G479" s="1">
        <v>42928</v>
      </c>
    </row>
    <row r="480">
      <c r="A480" t="str">
        <v>Gestion commerciale</v>
      </c>
      <c r="B480" t="str">
        <v>Direction marketing</v>
      </c>
      <c r="C480" t="str">
        <v>HEC Paris</v>
      </c>
      <c r="D480" t="str">
        <f>HYPERLINK("https://inventaire.cncp.gouv.fr/fiches/3047/","3047")</f>
        <v>3047</v>
      </c>
      <c r="E480" t="str">
        <f>HYPERLINK("http://www.intercariforef.org/formations/certification-96467.html","96467")</f>
        <v>96467</v>
      </c>
      <c r="F480" s="1">
        <v>42928</v>
      </c>
      <c r="G480" s="1">
        <v>42928</v>
      </c>
    </row>
    <row r="481">
      <c r="A481" t="str">
        <v>Gestion commerciale</v>
      </c>
      <c r="B481" t="str">
        <v>Excellence relationnelle pour un accueil client de qualité</v>
      </c>
      <c r="C481" t="str">
        <v>French Touch Attitude</v>
      </c>
      <c r="D481" t="str">
        <f>HYPERLINK("https://inventaire.cncp.gouv.fr/fiches/2684/","2684")</f>
        <v>2684</v>
      </c>
      <c r="E481" t="str">
        <f>HYPERLINK("http://www.intercariforef.org/formations/certification-95647.html","95647")</f>
        <v>95647</v>
      </c>
      <c r="F481" s="1">
        <v>42893</v>
      </c>
      <c r="G481" s="1">
        <v>42893</v>
      </c>
    </row>
    <row r="482">
      <c r="A482" t="str">
        <v>Gestion commerciale</v>
      </c>
      <c r="B482" t="str">
        <v>Fidélisation et e-CRM</v>
      </c>
      <c r="C482" t="str">
        <v>Institut supérieur du marketing</v>
      </c>
      <c r="D482" t="str">
        <f>HYPERLINK("https://inventaire.cncp.gouv.fr/fiches/2322/","2322")</f>
        <v>2322</v>
      </c>
      <c r="E482" t="str">
        <f>HYPERLINK("http://www.intercariforef.org/formations/certification-94785.html","94785")</f>
        <v>94785</v>
      </c>
      <c r="F482" s="1">
        <v>42835</v>
      </c>
      <c r="G482" s="1">
        <v>42836</v>
      </c>
    </row>
    <row r="483">
      <c r="A483" t="str">
        <v>Gestion commerciale</v>
      </c>
      <c r="B483" t="str">
        <v>Fondamentaux de la Vente B to B</v>
      </c>
      <c r="C483" t="str">
        <v>Euridis Management</v>
      </c>
      <c r="D483" t="str">
        <f>HYPERLINK("https://inventaire.cncp.gouv.fr/fiches/1640/","1640")</f>
        <v>1640</v>
      </c>
      <c r="E483" t="str">
        <f>HYPERLINK("http://www.intercariforef.org/formations/certification-93907.html","93907")</f>
        <v>93907</v>
      </c>
      <c r="F483" s="1">
        <v>42744</v>
      </c>
      <c r="G483" s="1">
        <v>42744</v>
      </c>
    </row>
    <row r="484">
      <c r="A484" t="str">
        <v>Gestion commerciale</v>
      </c>
      <c r="B484" t="str">
        <v>Fondamentaux des achats</v>
      </c>
      <c r="C484" t="str">
        <v>Cegos</v>
      </c>
      <c r="D484" t="str">
        <f>HYPERLINK("https://inventaire.cncp.gouv.fr/fiches/3533/","3533")</f>
        <v>3533</v>
      </c>
      <c r="E484" t="str">
        <f>HYPERLINK("http://www.intercariforef.org/formations/certification-102629.html","102629")</f>
        <v>102629</v>
      </c>
      <c r="F484" s="1">
        <v>43299</v>
      </c>
      <c r="G484" s="1">
        <v>43299</v>
      </c>
    </row>
    <row r="485">
      <c r="A485" t="str">
        <v>Gestion commerciale</v>
      </c>
      <c r="B485" t="str">
        <v>Gestion du service client B to B dans le domaine numérique</v>
      </c>
      <c r="C485" t="str">
        <v>Télécom ParisTech</v>
      </c>
      <c r="D485" t="str">
        <f>HYPERLINK("https://inventaire.cncp.gouv.fr/fiches/2047/","2047")</f>
        <v>2047</v>
      </c>
      <c r="E485" t="str">
        <f>HYPERLINK("http://www.intercariforef.org/formations/certification-89251.html","89251")</f>
        <v>89251</v>
      </c>
      <c r="F485" s="1">
        <v>42522</v>
      </c>
      <c r="G485" s="1">
        <v>42522</v>
      </c>
    </row>
    <row r="486">
      <c r="A486" t="str">
        <v>Gestion commerciale</v>
      </c>
      <c r="B486" t="str">
        <v>Implémenter et utiliser les outils d'aide au marketing digital</v>
      </c>
      <c r="C486" t="str">
        <v>FITEC</v>
      </c>
      <c r="D486" t="str">
        <f>HYPERLINK("https://inventaire.cncp.gouv.fr/fiches/3195/","3195")</f>
        <v>3195</v>
      </c>
      <c r="E486" t="str">
        <f>HYPERLINK("http://www.intercariforef.org/formations/certification-100185.html","100185")</f>
        <v>100185</v>
      </c>
      <c r="F486" s="1">
        <v>43154</v>
      </c>
      <c r="G486" s="1">
        <v>43154</v>
      </c>
    </row>
    <row r="487">
      <c r="A487" t="str">
        <v>Gestion commerciale</v>
      </c>
      <c r="B487" t="str">
        <v>Intégrer l'outil de gestion de la relation client</v>
      </c>
      <c r="C487" t="str">
        <v>FITEC</v>
      </c>
      <c r="D487" t="str">
        <f>HYPERLINK("https://inventaire.cncp.gouv.fr/fiches/3066/","3066")</f>
        <v>3066</v>
      </c>
      <c r="E487" t="str">
        <f>HYPERLINK("http://www.intercariforef.org/formations/certification-100191.html","100191")</f>
        <v>100191</v>
      </c>
      <c r="F487" s="1">
        <v>43154</v>
      </c>
      <c r="G487" s="1">
        <v>43154</v>
      </c>
    </row>
    <row r="488">
      <c r="A488" t="str">
        <v>Gestion commerciale</v>
      </c>
      <c r="B488" t="str">
        <v>La gestion de la relation client</v>
      </c>
      <c r="C488" t="str">
        <v>Centre européen des examens de la fédération européenne des écoles</v>
      </c>
      <c r="D488" t="str">
        <f>HYPERLINK("https://inventaire.cncp.gouv.fr/fiches/3423/","3423")</f>
        <v>3423</v>
      </c>
      <c r="E488" t="str">
        <f>HYPERLINK("http://www.intercariforef.org/formations/certification-100663.html","100663")</f>
        <v>100663</v>
      </c>
      <c r="F488" s="1">
        <v>43194</v>
      </c>
      <c r="G488" s="1">
        <v>43194</v>
      </c>
    </row>
    <row r="489">
      <c r="A489" t="str">
        <v>Gestion commerciale</v>
      </c>
      <c r="B489" t="str">
        <v>La qualité du service dans la gestion de la relation client</v>
      </c>
      <c r="C489" t="str">
        <v>Customer Experience - Groupe INSEEC, Luxury Attitude - Groupe INSEEC</v>
      </c>
      <c r="D489" t="str">
        <f>HYPERLINK("https://inventaire.cncp.gouv.fr/fiches/1691/","1691")</f>
        <v>1691</v>
      </c>
      <c r="E489" t="str">
        <f>HYPERLINK("http://www.intercariforef.org/formations/certification-87687.html","87687")</f>
        <v>87687</v>
      </c>
      <c r="F489" s="1">
        <v>42418</v>
      </c>
      <c r="G489" s="1">
        <v>42418</v>
      </c>
    </row>
    <row r="490">
      <c r="A490" t="str">
        <v>Gestion commerciale</v>
      </c>
      <c r="B490" t="str">
        <v>La relation clients dans le secteur bancaire et assurance</v>
      </c>
      <c r="C490" t="str">
        <v>École supérieure d'assurances</v>
      </c>
      <c r="D490" t="str">
        <f>HYPERLINK("https://inventaire.cncp.gouv.fr/fiches/3512/","3512")</f>
        <v>3512</v>
      </c>
      <c r="E490" t="str">
        <f>HYPERLINK("http://www.intercariforef.org/formations/certification-103969.html","103969")</f>
        <v>103969</v>
      </c>
      <c r="F490" s="1">
        <v>43391</v>
      </c>
      <c r="G490" s="1">
        <v>43391</v>
      </c>
    </row>
    <row r="491">
      <c r="A491" t="str">
        <v>Gestion commerciale</v>
      </c>
      <c r="B491" t="str">
        <v>Le Marketing Digital</v>
      </c>
      <c r="C491" t="str">
        <v>DEMOS</v>
      </c>
      <c r="D491" t="str">
        <f>HYPERLINK("https://inventaire.cncp.gouv.fr/fiches/2620/","2620")</f>
        <v>2620</v>
      </c>
      <c r="E491" t="str">
        <f>HYPERLINK("http://www.intercariforef.org/formations/certification-95651.html","95651")</f>
        <v>95651</v>
      </c>
      <c r="F491" s="1">
        <v>42893</v>
      </c>
      <c r="G491" s="1">
        <v>42893</v>
      </c>
    </row>
    <row r="492">
      <c r="A492" t="str">
        <v>Gestion commerciale</v>
      </c>
      <c r="B492" t="str">
        <v>Le marketing digital</v>
      </c>
      <c r="C492" t="str">
        <v>Centre européen des examens de la fédération européenne des écoles</v>
      </c>
      <c r="D492" t="str">
        <f>HYPERLINK("https://inventaire.cncp.gouv.fr/fiches/3425/","3425")</f>
        <v>3425</v>
      </c>
      <c r="E492" t="str">
        <f>HYPERLINK("http://www.intercariforef.org/formations/certification-100659.html","100659")</f>
        <v>100659</v>
      </c>
      <c r="F492" s="1">
        <v>43194</v>
      </c>
      <c r="G492" s="1">
        <v>43194</v>
      </c>
    </row>
    <row r="493">
      <c r="A493" t="str">
        <v>Gestion commerciale</v>
      </c>
      <c r="B493" t="str">
        <v>Management de la Relation Client</v>
      </c>
      <c r="C493" t="str">
        <v>Grenoble école de management</v>
      </c>
      <c r="D493" t="str">
        <f>HYPERLINK("https://inventaire.cncp.gouv.fr/fiches/1689/","1689")</f>
        <v>1689</v>
      </c>
      <c r="E493" t="str">
        <f>HYPERLINK("http://www.intercariforef.org/formations/certification-89165.html","89165")</f>
        <v>89165</v>
      </c>
      <c r="F493" s="1">
        <v>42521</v>
      </c>
      <c r="G493" s="1">
        <v>43173</v>
      </c>
    </row>
    <row r="494">
      <c r="A494" t="str">
        <v>Gestion commerciale</v>
      </c>
      <c r="B494" t="str">
        <v>Management d'une offre de services et de l'expérience client (BADGE)</v>
      </c>
      <c r="C494" t="str">
        <v>Grenoble école de management</v>
      </c>
      <c r="D494" t="str">
        <f>HYPERLINK("https://inventaire.cncp.gouv.fr/fiches/2356/","2356")</f>
        <v>2356</v>
      </c>
      <c r="E494" t="str">
        <f>HYPERLINK("http://www.intercariforef.org/formations/certification-94967.html","94967")</f>
        <v>94967</v>
      </c>
      <c r="F494" s="1">
        <v>42838</v>
      </c>
      <c r="G494" s="1">
        <v>42877</v>
      </c>
    </row>
    <row r="495">
      <c r="A495" t="str">
        <v>Gestion commerciale</v>
      </c>
      <c r="B495" t="str">
        <v>Marketing digital</v>
      </c>
      <c r="C495" t="str">
        <v>Institut supérieur du marketing</v>
      </c>
      <c r="D495" t="str">
        <f>HYPERLINK("https://inventaire.cncp.gouv.fr/fiches/1345/","1345")</f>
        <v>1345</v>
      </c>
      <c r="E495" t="str">
        <f>HYPERLINK("http://www.intercariforef.org/formations/certification-86428.html","86428")</f>
        <v>86428</v>
      </c>
      <c r="F495" s="1">
        <v>42341</v>
      </c>
      <c r="G495" s="1">
        <v>42341</v>
      </c>
    </row>
    <row r="496">
      <c r="A496" t="str">
        <v>Gestion commerciale</v>
      </c>
      <c r="B496" t="str">
        <v>Marketing Digital</v>
      </c>
      <c r="C496" t="str">
        <v>HEC Paris</v>
      </c>
      <c r="D496" t="str">
        <f>HYPERLINK("https://inventaire.cncp.gouv.fr/fiches/3046/","3046")</f>
        <v>3046</v>
      </c>
      <c r="E496" t="str">
        <f>HYPERLINK("http://www.intercariforef.org/formations/certification-96469.html","96469")</f>
        <v>96469</v>
      </c>
      <c r="F496" s="1">
        <v>42928</v>
      </c>
      <c r="G496" s="1">
        <v>42928</v>
      </c>
    </row>
    <row r="497">
      <c r="A497" t="str">
        <v>Gestion commerciale</v>
      </c>
      <c r="B497" t="str">
        <v>Marketing et Communication Digitale</v>
      </c>
      <c r="C497" t="str">
        <v>Comundi, Université Paris-Dauphine</v>
      </c>
      <c r="D497" t="str">
        <f>HYPERLINK("https://inventaire.cncp.gouv.fr/fiches/3399/","3399")</f>
        <v>3399</v>
      </c>
      <c r="E497" t="str">
        <f>HYPERLINK("http://www.intercariforef.org/formations/certification-100011.html","100011")</f>
        <v>100011</v>
      </c>
      <c r="F497" s="1">
        <v>43151</v>
      </c>
      <c r="G497" s="1">
        <v>43151</v>
      </c>
    </row>
    <row r="498">
      <c r="A498" t="str">
        <v>Gestion commerciale</v>
      </c>
      <c r="B498" t="str">
        <v>Marketing management</v>
      </c>
      <c r="C498" t="str">
        <v>Institut supérieur du marketing</v>
      </c>
      <c r="D498" t="str">
        <f>HYPERLINK("https://inventaire.cncp.gouv.fr/fiches/1351/","1351")</f>
        <v>1351</v>
      </c>
      <c r="E498" t="str">
        <f>HYPERLINK("http://www.intercariforef.org/formations/certification-86444.html","86444")</f>
        <v>86444</v>
      </c>
      <c r="F498" s="1">
        <v>42341</v>
      </c>
      <c r="G498" s="1">
        <v>42398</v>
      </c>
    </row>
    <row r="499">
      <c r="A499" t="str">
        <v>Gestion commerciale</v>
      </c>
      <c r="B499" t="str">
        <v>Marketing stratégique</v>
      </c>
      <c r="C499" t="str">
        <v>Institut supérieur du marketing</v>
      </c>
      <c r="D499" t="str">
        <f>HYPERLINK("https://inventaire.cncp.gouv.fr/fiches/1349/","1349")</f>
        <v>1349</v>
      </c>
      <c r="E499" t="str">
        <f>HYPERLINK("http://www.intercariforef.org/formations/certification-86442.html","86442")</f>
        <v>86442</v>
      </c>
      <c r="F499" s="1">
        <v>42341</v>
      </c>
      <c r="G499" s="1">
        <v>42398</v>
      </c>
    </row>
    <row r="500">
      <c r="A500" t="str">
        <v>Gestion commerciale</v>
      </c>
      <c r="B500" t="str">
        <v>Mobile et webmarketing</v>
      </c>
      <c r="C500" t="str">
        <v>CEGEFOS</v>
      </c>
      <c r="D500" t="str">
        <f>HYPERLINK("https://inventaire.cncp.gouv.fr/fiches/2230/","2230")</f>
        <v>2230</v>
      </c>
      <c r="E500" t="str">
        <f>HYPERLINK("http://www.intercariforef.org/formations/certification-94007.html","94007")</f>
        <v>94007</v>
      </c>
      <c r="F500" s="1">
        <v>42745</v>
      </c>
      <c r="G500" s="1">
        <v>42745</v>
      </c>
    </row>
    <row r="501">
      <c r="A501" t="str">
        <v>Gestion commerciale</v>
      </c>
      <c r="B501" t="str">
        <v>Pratiquer le marketing digital</v>
      </c>
      <c r="C501" t="str">
        <v>LiveMentor</v>
      </c>
      <c r="D501" t="str">
        <f>HYPERLINK("https://inventaire.cncp.gouv.fr/fiches/3501/","3501")</f>
        <v>3501</v>
      </c>
      <c r="E501" t="str">
        <f>HYPERLINK("http://www.intercariforef.org/formations/certification-100635.html","100635")</f>
        <v>100635</v>
      </c>
      <c r="F501" s="1">
        <v>43193</v>
      </c>
      <c r="G501" s="1">
        <v>43193</v>
      </c>
    </row>
    <row r="502">
      <c r="A502" t="str">
        <v>Gestion commerciale</v>
      </c>
      <c r="B502" t="str">
        <v>Produire des contenus digitaux de qualité</v>
      </c>
      <c r="C502" t="str">
        <v>LiveMentor</v>
      </c>
      <c r="D502" t="str">
        <f>HYPERLINK("https://inventaire.cncp.gouv.fr/fiches/3502/","3502")</f>
        <v>3502</v>
      </c>
      <c r="E502" t="str">
        <f>HYPERLINK("http://www.intercariforef.org/formations/certification-100649.html","100649")</f>
        <v>100649</v>
      </c>
      <c r="F502" s="1">
        <v>43194</v>
      </c>
      <c r="G502" s="1">
        <v>43194</v>
      </c>
    </row>
    <row r="503" ht="26.2" customHeight="1">
      <c r="A503" t="str">
        <v>Gestion commerciale</v>
      </c>
      <c r="B503" t="str">
        <v>Prospection commerciale pour les professionnels du conseil, du numérique et des nouvelles technologies</v>
      </c>
      <c r="C503" t="str">
        <v>Hiramys</v>
      </c>
      <c r="D503" t="str">
        <f>HYPERLINK("https://inventaire.cncp.gouv.fr/fiches/3503/","3503")</f>
        <v>3503</v>
      </c>
      <c r="E503" t="str">
        <f>HYPERLINK("http://www.intercariforef.org/formations/certification-102637.html","102637")</f>
        <v>102637</v>
      </c>
      <c r="F503" s="1">
        <v>43299</v>
      </c>
      <c r="G503" s="1">
        <v>43299</v>
      </c>
    </row>
    <row r="504">
      <c r="A504" t="str">
        <v>Gestion commerciale</v>
      </c>
      <c r="B504" t="str">
        <v>Relation client</v>
      </c>
      <c r="C504" t="str">
        <v>Akor consulting</v>
      </c>
      <c r="D504" t="str">
        <f>HYPERLINK("https://inventaire.cncp.gouv.fr/fiches/2890/","2890")</f>
        <v>2890</v>
      </c>
      <c r="E504" t="str">
        <f>HYPERLINK("http://www.intercariforef.org/formations/certification-96553.html","96553")</f>
        <v>96553</v>
      </c>
      <c r="F504" s="1">
        <v>42928</v>
      </c>
      <c r="G504" s="1">
        <v>42928</v>
      </c>
    </row>
    <row r="505">
      <c r="A505" t="str">
        <v>Gestion commerciale</v>
      </c>
      <c r="B505" t="str">
        <v>Réussir sa publicité sur Facebook</v>
      </c>
      <c r="C505" t="str">
        <v>LiveMentor</v>
      </c>
      <c r="D505" t="str">
        <f>HYPERLINK("https://inventaire.cncp.gouv.fr/fiches/3505/","3505")</f>
        <v>3505</v>
      </c>
      <c r="E505" t="str">
        <f>HYPERLINK("http://www.intercariforef.org/formations/certification-100645.html","100645")</f>
        <v>100645</v>
      </c>
      <c r="F505" s="1">
        <v>43194</v>
      </c>
      <c r="G505" s="1">
        <v>43194</v>
      </c>
    </row>
    <row r="506">
      <c r="A506" t="str">
        <v>Gestion commerciale</v>
      </c>
      <c r="B506" t="str">
        <v>Stratégie Digital Marketing</v>
      </c>
      <c r="C506" t="str">
        <v>M2I Formation</v>
      </c>
      <c r="D506" t="str">
        <f>HYPERLINK("https://inventaire.cncp.gouv.fr/fiches/3427/","3427")</f>
        <v>3427</v>
      </c>
      <c r="E506" t="str">
        <f>HYPERLINK("http://www.intercariforef.org/formations/certification-100657.html","100657")</f>
        <v>100657</v>
      </c>
      <c r="F506" s="1">
        <v>43194</v>
      </c>
      <c r="G506" s="1">
        <v>43194</v>
      </c>
    </row>
    <row r="507">
      <c r="A507" t="str">
        <v>Gestion commerciale</v>
      </c>
      <c r="B507" t="str">
        <v>Traitement des Appels d'offre</v>
      </c>
      <c r="C507" t="str">
        <v>École supérieure d'assurances</v>
      </c>
      <c r="D507" t="str">
        <f>HYPERLINK("https://inventaire.cncp.gouv.fr/fiches/3391/","3391")</f>
        <v>3391</v>
      </c>
      <c r="E507" t="str">
        <f>HYPERLINK("http://www.intercariforef.org/formations/certification-100019.html","100019")</f>
        <v>100019</v>
      </c>
      <c r="F507" s="1">
        <v>43151</v>
      </c>
      <c r="G507" s="1">
        <v>43151</v>
      </c>
    </row>
    <row r="508">
      <c r="A508" t="str">
        <v>Gestion commerciale</v>
      </c>
      <c r="B508" t="str">
        <v>Vendre de la création de valeur à ses clients</v>
      </c>
      <c r="C508" t="str">
        <v>HEC Paris</v>
      </c>
      <c r="D508" t="str">
        <f>HYPERLINK("https://inventaire.cncp.gouv.fr/fiches/3258/","3258")</f>
        <v>3258</v>
      </c>
      <c r="E508" t="str">
        <f>HYPERLINK("http://www.intercariforef.org/formations/certification-99179.html","99179")</f>
        <v>99179</v>
      </c>
      <c r="F508" s="1">
        <v>43076</v>
      </c>
      <c r="G508" s="1">
        <v>43076</v>
      </c>
    </row>
    <row r="509">
      <c r="A509" t="str">
        <v>Gestion commerciale</v>
      </c>
      <c r="B509" t="str">
        <v>Webmarketing - Marketing digital</v>
      </c>
      <c r="C509" t="str">
        <v>Agence Tristanah</v>
      </c>
      <c r="D509" t="str">
        <f>HYPERLINK("https://inventaire.cncp.gouv.fr/fiches/2544/","2544")</f>
        <v>2544</v>
      </c>
      <c r="E509" t="str">
        <f>HYPERLINK("http://www.intercariforef.org/formations/certification-95661.html","95661")</f>
        <v>95661</v>
      </c>
      <c r="F509" s="1">
        <v>42894</v>
      </c>
      <c r="G509" s="1">
        <v>42894</v>
      </c>
    </row>
    <row r="510">
      <c r="A510" t="str">
        <v>Gestion industrielle</v>
      </c>
      <c r="B510" t="str">
        <v>Analyse des temps de fabrication (MTM-UAS)</v>
      </c>
      <c r="C510" t="str">
        <v>Association MTM Française</v>
      </c>
      <c r="D510" t="str">
        <f>HYPERLINK("https://inventaire.cncp.gouv.fr/fiches/2101/","2101")</f>
        <v>2101</v>
      </c>
      <c r="E510" t="str">
        <f>HYPERLINK("http://www.intercariforef.org/formations/certification-91939.html","91939")</f>
        <v>91939</v>
      </c>
      <c r="F510" s="1">
        <v>42662</v>
      </c>
      <c r="G510" s="1">
        <v>42662</v>
      </c>
    </row>
    <row r="511">
      <c r="A511" t="str">
        <v>Gestion industrielle</v>
      </c>
      <c r="B511" t="str">
        <v>Auditeur ICA Qualité</v>
      </c>
      <c r="C511" t="str">
        <v>AFNOR</v>
      </c>
      <c r="D511" t="str">
        <f>HYPERLINK("https://inventaire.cncp.gouv.fr/fiches/913/","913")</f>
        <v>913</v>
      </c>
      <c r="E511" t="str">
        <f>HYPERLINK("http://www.intercariforef.org/formations/certification-85048.html","85048")</f>
        <v>85048</v>
      </c>
      <c r="F511" s="1">
        <v>42185</v>
      </c>
      <c r="G511" s="1">
        <v>42185</v>
      </c>
    </row>
    <row r="512">
      <c r="A512" t="str">
        <v>Gestion industrielle</v>
      </c>
      <c r="B512" t="str">
        <v>Auditeur tierce partie IRCA système de management de la qualité</v>
      </c>
      <c r="C512" t="str">
        <v>AFNOR</v>
      </c>
      <c r="D512" t="str">
        <f>HYPERLINK("https://inventaire.cncp.gouv.fr/fiches/1010/","1010")</f>
        <v>1010</v>
      </c>
      <c r="E512" t="str">
        <f>HYPERLINK("http://www.intercariforef.org/formations/certification-85051.html","85051")</f>
        <v>85051</v>
      </c>
      <c r="F512" s="1">
        <v>42185</v>
      </c>
      <c r="G512" s="1">
        <v>42185</v>
      </c>
    </row>
    <row r="513">
      <c r="A513" t="str">
        <v>Gestion industrielle</v>
      </c>
      <c r="B513" t="str">
        <v>Certificat CAO TopSolid7</v>
      </c>
      <c r="C513" t="str">
        <v>Missler Software</v>
      </c>
      <c r="D513" t="str">
        <f>HYPERLINK("https://inventaire.cncp.gouv.fr/fiches/988/","988")</f>
        <v>988</v>
      </c>
      <c r="E513" t="str">
        <f>HYPERLINK("http://www.intercariforef.org/formations/certification-85161.html","85161")</f>
        <v>85161</v>
      </c>
      <c r="F513" s="1">
        <v>42201</v>
      </c>
      <c r="G513" s="1">
        <v>42201</v>
      </c>
    </row>
    <row r="514">
      <c r="A514" t="str">
        <v>Gestion industrielle</v>
      </c>
      <c r="B514" t="str">
        <v>Certificat d'Acquis Professionnels « Responsable Travaux Neufs »</v>
      </c>
      <c r="C514" t="str">
        <v>AFNOR</v>
      </c>
      <c r="D514" t="str">
        <f>HYPERLINK("https://inventaire.cncp.gouv.fr/fiches/2738/","2738")</f>
        <v>2738</v>
      </c>
      <c r="E514" t="str">
        <f>HYPERLINK("http://www.intercariforef.org/formations/certification-95671.html","95671")</f>
        <v>95671</v>
      </c>
      <c r="F514" s="1">
        <v>42894</v>
      </c>
      <c r="G514" s="1">
        <v>43152</v>
      </c>
    </row>
    <row r="515">
      <c r="A515" t="str">
        <v>Gestion industrielle</v>
      </c>
      <c r="B515" t="str">
        <v>Certificat de compétences en entreprise (CCE) Réaliser une activité de production</v>
      </c>
      <c r="C515" t="str">
        <v>CCI France - Assemblée des chambres françaises de commerce et d'industrie</v>
      </c>
      <c r="D515" t="str">
        <f>HYPERLINK("https://inventaire.cncp.gouv.fr/fiches/3816/","3816")</f>
        <v>3816</v>
      </c>
      <c r="E515" t="str">
        <f>HYPERLINK("http://www.intercariforef.org/formations/certification-102159.html","102159")</f>
        <v>102159</v>
      </c>
      <c r="F515" s="1">
        <v>43293</v>
      </c>
      <c r="G515" s="1">
        <v>43293</v>
      </c>
    </row>
    <row r="516" ht="26.2" customHeight="1">
      <c r="A516" t="str">
        <v>Gestion industrielle</v>
      </c>
      <c r="B516" t="str">
        <v>Certificat de Maîtrise de la solution logicielle de Gestion de Production,YourCegid Manufacturing PMI</v>
      </c>
      <c r="C516" t="str">
        <v>Cegid groupe</v>
      </c>
      <c r="D516" t="str">
        <f>HYPERLINK("https://inventaire.cncp.gouv.fr/fiches/3221/","3221")</f>
        <v>3221</v>
      </c>
      <c r="E516" t="str">
        <f>HYPERLINK("http://www.intercariforef.org/formations/certification-101209.html","101209")</f>
        <v>101209</v>
      </c>
      <c r="F516" s="1">
        <v>43251</v>
      </c>
      <c r="G516" s="1">
        <v>43251</v>
      </c>
    </row>
    <row r="517">
      <c r="A517" t="str">
        <v>Gestion industrielle</v>
      </c>
      <c r="B517" t="str">
        <v>Certificat FAO TopSolid7</v>
      </c>
      <c r="C517" t="str">
        <v>Missler Software</v>
      </c>
      <c r="D517" t="str">
        <f>HYPERLINK("https://inventaire.cncp.gouv.fr/fiches/968/","968")</f>
        <v>968</v>
      </c>
      <c r="E517" t="str">
        <f>HYPERLINK("http://www.intercariforef.org/formations/certification-85162.html","85162")</f>
        <v>85162</v>
      </c>
      <c r="F517" s="1">
        <v>42201</v>
      </c>
      <c r="G517" s="1">
        <v>42201</v>
      </c>
    </row>
    <row r="518">
      <c r="A518" t="str">
        <v>Gestion industrielle</v>
      </c>
      <c r="B518" t="str">
        <v>Certificat Manager un service maintenance</v>
      </c>
      <c r="C518" t="str">
        <v>AFNOR</v>
      </c>
      <c r="D518" t="str">
        <f>HYPERLINK("https://inventaire.cncp.gouv.fr/fiches/3040/","3040")</f>
        <v>3040</v>
      </c>
      <c r="E518" t="str">
        <f>HYPERLINK("http://www.intercariforef.org/formations/certification-100059.html","100059")</f>
        <v>100059</v>
      </c>
      <c r="F518" s="1">
        <v>43152</v>
      </c>
      <c r="G518" s="1">
        <v>43152</v>
      </c>
    </row>
    <row r="519">
      <c r="A519" t="str">
        <v>Gestion industrielle</v>
      </c>
      <c r="B519" t="str">
        <v>Certification de Compétence d'Ingénieur Professionnel en Méthodes</v>
      </c>
      <c r="C519" t="str">
        <v>Société Nationale des Ingénieurs Professionnels de France</v>
      </c>
      <c r="D519" t="str">
        <f>HYPERLINK("https://inventaire.cncp.gouv.fr/fiches/2904/","2904")</f>
        <v>2904</v>
      </c>
      <c r="E519" t="str">
        <f>HYPERLINK("http://www.intercariforef.org/formations/certification-98637.html","98637")</f>
        <v>98637</v>
      </c>
      <c r="F519" s="1">
        <v>43038</v>
      </c>
      <c r="G519" s="1">
        <v>43038</v>
      </c>
    </row>
    <row r="520">
      <c r="A520" t="str">
        <v>Gestion industrielle</v>
      </c>
      <c r="B520" t="str">
        <v>Certification de Compétence d'Ingénieur Professionnel en Production</v>
      </c>
      <c r="C520" t="str">
        <v>Société Nationale des Ingénieurs Professionnels de France</v>
      </c>
      <c r="D520" t="str">
        <f>HYPERLINK("https://inventaire.cncp.gouv.fr/fiches/2892/","2892")</f>
        <v>2892</v>
      </c>
      <c r="E520" t="str">
        <f>HYPERLINK("http://www.intercariforef.org/formations/certification-98647.html","98647")</f>
        <v>98647</v>
      </c>
      <c r="F520" s="1">
        <v>43038</v>
      </c>
      <c r="G520" s="1">
        <v>43038</v>
      </c>
    </row>
    <row r="521">
      <c r="A521" t="str">
        <v>Gestion industrielle</v>
      </c>
      <c r="B521" t="str">
        <v>Certification Lean Black Belt</v>
      </c>
      <c r="C521" t="str">
        <v>Université Lean 6 Sigma</v>
      </c>
      <c r="D521" t="str">
        <f>HYPERLINK("https://inventaire.cncp.gouv.fr/fiches/2246/","2246")</f>
        <v>2246</v>
      </c>
      <c r="E521" t="str">
        <f>HYPERLINK("http://www.intercariforef.org/formations/certification-91769.html","91769")</f>
        <v>91769</v>
      </c>
      <c r="F521" s="1">
        <v>42654</v>
      </c>
      <c r="G521" s="1">
        <v>42654</v>
      </c>
    </row>
    <row r="522">
      <c r="A522" t="str">
        <v>Gestion industrielle</v>
      </c>
      <c r="B522" t="str">
        <v>Certification Lean Green Belt</v>
      </c>
      <c r="C522" t="str">
        <v>Université Lean 6 Sigma</v>
      </c>
      <c r="D522" t="str">
        <f>HYPERLINK("https://inventaire.cncp.gouv.fr/fiches/2254/","2254")</f>
        <v>2254</v>
      </c>
      <c r="E522" t="str">
        <f>HYPERLINK("http://www.intercariforef.org/formations/certification-91767.html","91767")</f>
        <v>91767</v>
      </c>
      <c r="F522" s="1">
        <v>42654</v>
      </c>
      <c r="G522" s="1">
        <v>42654</v>
      </c>
    </row>
    <row r="523">
      <c r="A523" t="str">
        <v>Gestion industrielle</v>
      </c>
      <c r="B523" t="str">
        <v>Certification Lean Six Sigma - Black Belt</v>
      </c>
      <c r="C523" t="str">
        <v>Université Lean 6 Sigma</v>
      </c>
      <c r="D523" t="str">
        <f>HYPERLINK("https://inventaire.cncp.gouv.fr/fiches/2256/","2256")</f>
        <v>2256</v>
      </c>
      <c r="E523" t="str">
        <f>HYPERLINK("http://www.intercariforef.org/formations/certification-91763.html","91763")</f>
        <v>91763</v>
      </c>
      <c r="F523" s="1">
        <v>42654</v>
      </c>
      <c r="G523" s="1">
        <v>42654</v>
      </c>
    </row>
    <row r="524">
      <c r="A524" t="str">
        <v>Gestion industrielle</v>
      </c>
      <c r="B524" t="str">
        <v>Certification Lean Six Sigma - Green Belt</v>
      </c>
      <c r="C524" t="str">
        <v>Université Lean 6 Sigma</v>
      </c>
      <c r="D524" t="str">
        <f>HYPERLINK("https://inventaire.cncp.gouv.fr/fiches/2257/","2257")</f>
        <v>2257</v>
      </c>
      <c r="E524" t="str">
        <f>HYPERLINK("http://www.intercariforef.org/formations/certification-91761.html","91761")</f>
        <v>91761</v>
      </c>
      <c r="F524" s="1">
        <v>42654</v>
      </c>
      <c r="G524" s="1">
        <v>42654</v>
      </c>
    </row>
    <row r="525">
      <c r="A525" t="str">
        <v>Gestion industrielle</v>
      </c>
      <c r="B525" t="str">
        <v>Certification Lean Six Sigma - Master Black Belt</v>
      </c>
      <c r="C525" t="str">
        <v>Université Lean 6 Sigma</v>
      </c>
      <c r="D525" t="str">
        <f>HYPERLINK("https://inventaire.cncp.gouv.fr/fiches/2255/","2255")</f>
        <v>2255</v>
      </c>
      <c r="E525" t="str">
        <f>HYPERLINK("http://www.intercariforef.org/formations/certification-91765.html","91765")</f>
        <v>91765</v>
      </c>
      <c r="F525" s="1">
        <v>42654</v>
      </c>
      <c r="G525" s="1">
        <v>42654</v>
      </c>
    </row>
    <row r="526">
      <c r="A526" t="str">
        <v>Gestion industrielle</v>
      </c>
      <c r="B526" t="str">
        <v>Certification Lean Six Sigma - Yellow Belt</v>
      </c>
      <c r="C526" t="str">
        <v>Université Lean 6 Sigma</v>
      </c>
      <c r="D526" t="str">
        <f>HYPERLINK("https://inventaire.cncp.gouv.fr/fiches/2258/","2258")</f>
        <v>2258</v>
      </c>
      <c r="E526" t="str">
        <f>HYPERLINK("http://www.intercariforef.org/formations/certification-91759.html","91759")</f>
        <v>91759</v>
      </c>
      <c r="F526" s="1">
        <v>42654</v>
      </c>
      <c r="G526" s="1">
        <v>42654</v>
      </c>
    </row>
    <row r="527">
      <c r="A527" t="str">
        <v>Gestion industrielle</v>
      </c>
      <c r="B527" t="str">
        <v>Concevoir un produit, un procédé, un service</v>
      </c>
      <c r="C527" t="str">
        <v>InnovENT-E</v>
      </c>
      <c r="D527" t="str">
        <f>HYPERLINK("https://inventaire.cncp.gouv.fr/fiches/1501/","1501")</f>
        <v>1501</v>
      </c>
      <c r="E527" t="str">
        <f>HYPERLINK("http://www.intercariforef.org/formations/certification-87557.html","87557")</f>
        <v>87557</v>
      </c>
      <c r="F527" s="1">
        <v>42412</v>
      </c>
      <c r="G527" s="1">
        <v>42412</v>
      </c>
    </row>
    <row r="528">
      <c r="A528" t="str">
        <v>Gestion industrielle</v>
      </c>
      <c r="B528" t="str">
        <v>CSEP - Certified Systems Engineering Professional</v>
      </c>
      <c r="C528" t="str">
        <v>International Council of Systems Engineering</v>
      </c>
      <c r="D528" t="str">
        <f>HYPERLINK("https://inventaire.cncp.gouv.fr/fiches/2917/","2917")</f>
        <v>2917</v>
      </c>
      <c r="E528" t="str">
        <f>HYPERLINK("http://www.intercariforef.org/formations/certification-97069.html","97069")</f>
        <v>97069</v>
      </c>
      <c r="F528" s="1">
        <v>42977</v>
      </c>
      <c r="G528" s="1">
        <v>42977</v>
      </c>
    </row>
    <row r="529">
      <c r="A529" t="str">
        <v>Gestion industrielle</v>
      </c>
      <c r="B529" t="str">
        <v>IACS (Industrial Automation Control System) - Spécialité Analyse en ligne</v>
      </c>
      <c r="C529" t="str">
        <v>Institut de Régulation et Automation</v>
      </c>
      <c r="D529" t="str">
        <f>HYPERLINK("https://inventaire.cncp.gouv.fr/fiches/3721/","3721")</f>
        <v>3721</v>
      </c>
      <c r="E529" t="str">
        <f>HYPERLINK("http://www.intercariforef.org/formations/certification-102469.html","102469")</f>
        <v>102469</v>
      </c>
      <c r="F529" s="1">
        <v>43298</v>
      </c>
      <c r="G529" s="1">
        <v>43298</v>
      </c>
    </row>
    <row r="530">
      <c r="A530" t="str">
        <v>Gestion industrielle</v>
      </c>
      <c r="B530" t="str">
        <v>IACS (Industrial Automation Control System) - Spécialité métrologie</v>
      </c>
      <c r="C530" t="str">
        <v>Institut de Régulation et Automation</v>
      </c>
      <c r="D530" t="str">
        <f>HYPERLINK("https://inventaire.cncp.gouv.fr/fiches/3722/","3722")</f>
        <v>3722</v>
      </c>
      <c r="E530" t="str">
        <f>HYPERLINK("http://www.intercariforef.org/formations/certification-102467.html","102467")</f>
        <v>102467</v>
      </c>
      <c r="F530" s="1">
        <v>43298</v>
      </c>
      <c r="G530" s="1">
        <v>43298</v>
      </c>
    </row>
    <row r="531">
      <c r="A531" t="str">
        <v>Gestion industrielle</v>
      </c>
      <c r="B531" t="str">
        <v>La conception en 3 Dimensions avec SolidWorks</v>
      </c>
      <c r="C531" t="str">
        <v>Visiativ</v>
      </c>
      <c r="D531" t="str">
        <f>HYPERLINK("https://inventaire.cncp.gouv.fr/fiches/1810/","1810")</f>
        <v>1810</v>
      </c>
      <c r="E531" t="str">
        <f>HYPERLINK("http://www.intercariforef.org/formations/certification-92095.html","92095")</f>
        <v>92095</v>
      </c>
      <c r="F531" s="1">
        <v>42667</v>
      </c>
      <c r="G531" s="1">
        <v>42667</v>
      </c>
    </row>
    <row r="532">
      <c r="A532" t="str">
        <v>Gestion industrielle</v>
      </c>
      <c r="B532" t="str">
        <v>Modéliser et concevoir en 3 dimensions vos projets d'innovation avec Solidworks</v>
      </c>
      <c r="C532" t="str">
        <v>Avenao solutions 3D</v>
      </c>
      <c r="D532" t="str">
        <f>HYPERLINK("https://inventaire.cncp.gouv.fr/fiches/3224/","3224")</f>
        <v>3224</v>
      </c>
      <c r="E532" t="str">
        <f>HYPERLINK("http://www.intercariforef.org/formations/certification-102645.html","102645")</f>
        <v>102645</v>
      </c>
      <c r="F532" s="1">
        <v>43299</v>
      </c>
      <c r="G532" s="1">
        <v>43299</v>
      </c>
    </row>
    <row r="533">
      <c r="A533" t="str">
        <v>Gestion industrielle</v>
      </c>
      <c r="B533" t="str">
        <v>Modéliser et consulter en 3 dimensions les projets d'innovation technique avec CATIA</v>
      </c>
      <c r="C533" t="str">
        <v>Visiativ</v>
      </c>
      <c r="D533" t="str">
        <f>HYPERLINK("https://inventaire.cncp.gouv.fr/fiches/1809/","1809")</f>
        <v>1809</v>
      </c>
      <c r="E533" t="str">
        <f>HYPERLINK("http://www.intercariforef.org/formations/certification-90243.html","90243")</f>
        <v>90243</v>
      </c>
      <c r="F533" s="1">
        <v>42563</v>
      </c>
      <c r="G533" s="1">
        <v>42563</v>
      </c>
    </row>
    <row r="534">
      <c r="A534" t="str">
        <v>Gestion industrielle</v>
      </c>
      <c r="B534" t="str">
        <v>Techniques de conception et design de pièces et d'assemblages 3D paramétriques</v>
      </c>
      <c r="C534" t="str">
        <v>Formalisa</v>
      </c>
      <c r="D534" t="str">
        <f>HYPERLINK("https://inventaire.cncp.gouv.fr/fiches/1898/","1898")</f>
        <v>1898</v>
      </c>
      <c r="E534" t="str">
        <f>HYPERLINK("http://www.intercariforef.org/formations/certification-98375.html","98375")</f>
        <v>98375</v>
      </c>
      <c r="F534" s="1">
        <v>43027</v>
      </c>
      <c r="G534" s="1">
        <v>43027</v>
      </c>
    </row>
    <row r="535">
      <c r="A535" t="str">
        <v>Gestion industrielle</v>
      </c>
      <c r="B535" t="str">
        <v>WorkNC : CFAO 2 à 5 AXES</v>
      </c>
      <c r="C535" t="str">
        <v>SESCOI</v>
      </c>
      <c r="D535" t="str">
        <f>HYPERLINK("https://inventaire.cncp.gouv.fr/fiches/1924/","1924")</f>
        <v>1924</v>
      </c>
      <c r="E535" t="str">
        <f>HYPERLINK("http://www.intercariforef.org/formations/certification-88387.html","88387")</f>
        <v>88387</v>
      </c>
      <c r="F535" s="1">
        <v>42461</v>
      </c>
      <c r="G535" s="1">
        <v>42718</v>
      </c>
    </row>
    <row r="536">
      <c r="A536" t="str">
        <v>Gestion, droit, management</v>
      </c>
      <c r="B536" t="str">
        <v>5 jours pour entreprendre ®</v>
      </c>
      <c r="C536" t="str">
        <v>CCI France - Assemblée des chambres françaises de commerce et d'industrie</v>
      </c>
      <c r="D536" t="str">
        <f>HYPERLINK("https://inventaire.cncp.gouv.fr/fiches/355/","355")</f>
        <v>355</v>
      </c>
      <c r="E536" t="str">
        <f>HYPERLINK("http://www.intercariforef.org/formations/certification-84451.html","84451")</f>
        <v>84451</v>
      </c>
      <c r="F536" s="1">
        <v>42109</v>
      </c>
      <c r="G536" s="1">
        <v>42979</v>
      </c>
    </row>
    <row r="537">
      <c r="A537" t="str">
        <v>Gestion, droit, management</v>
      </c>
      <c r="B537" t="str">
        <v>Accompagnement des entreprises et des organisations en agilité comportementale</v>
      </c>
      <c r="C537" t="str">
        <v>Agil'oa</v>
      </c>
      <c r="D537" t="str">
        <f>HYPERLINK("https://inventaire.cncp.gouv.fr/fiches/3081/","3081")</f>
        <v>3081</v>
      </c>
      <c r="E537" t="str">
        <f>HYPERLINK("http://www.intercariforef.org/formations/certification-101369.html","101369")</f>
        <v>101369</v>
      </c>
      <c r="F537" s="1">
        <v>43259</v>
      </c>
      <c r="G537" s="1">
        <v>43259</v>
      </c>
    </row>
    <row r="538">
      <c r="A538" t="str">
        <v>Gestion, droit, management</v>
      </c>
      <c r="B538" t="str">
        <v>Accompagner et manager avec les outils du coach</v>
      </c>
      <c r="C538" t="str">
        <v>Altitude formation et conseil</v>
      </c>
      <c r="D538" t="str">
        <f>HYPERLINK("https://inventaire.cncp.gouv.fr/fiches/730/","730")</f>
        <v>730</v>
      </c>
      <c r="E538" t="str">
        <f>HYPERLINK("http://www.intercariforef.org/formations/certification-88641.html","88641")</f>
        <v>88641</v>
      </c>
      <c r="F538" s="1">
        <v>42486</v>
      </c>
      <c r="G538" s="1">
        <v>42718</v>
      </c>
    </row>
    <row r="539">
      <c r="A539" t="str">
        <v>Gestion, droit, management</v>
      </c>
      <c r="B539" t="str">
        <v>Accompagner le changement avec la démarche coaching</v>
      </c>
      <c r="C539" t="str">
        <v>Evolusens</v>
      </c>
      <c r="D539" t="str">
        <f>HYPERLINK("https://inventaire.cncp.gouv.fr/fiches/3376/","3376")</f>
        <v>3376</v>
      </c>
      <c r="E539" t="str">
        <f>HYPERLINK("http://www.intercariforef.org/formations/certification-100033.html","100033")</f>
        <v>100033</v>
      </c>
      <c r="F539" s="1">
        <v>43152</v>
      </c>
      <c r="G539" s="1">
        <v>43152</v>
      </c>
    </row>
    <row r="540">
      <c r="A540" t="str">
        <v>Gestion, droit, management</v>
      </c>
      <c r="B540" t="str">
        <v>Accompagner les individus et les équipes dans les situations de transition</v>
      </c>
      <c r="C540" t="str">
        <v>Ressources et Carrières</v>
      </c>
      <c r="D540" t="str">
        <f>HYPERLINK("https://inventaire.cncp.gouv.fr/fiches/2715/","2715")</f>
        <v>2715</v>
      </c>
      <c r="E540" t="str">
        <f>HYPERLINK("http://www.intercariforef.org/formations/certification-94825.html","94825")</f>
        <v>94825</v>
      </c>
      <c r="F540" s="1">
        <v>42836</v>
      </c>
      <c r="G540" s="1">
        <v>42836</v>
      </c>
    </row>
    <row r="541">
      <c r="A541" t="str">
        <v>Gestion, droit, management</v>
      </c>
      <c r="B541" t="str">
        <v>Accompagner l'individu avec une approche de coaching multidisciplinaire - Niveau 1 (BADGE)</v>
      </c>
      <c r="C541" t="str">
        <v>Grenoble école de management</v>
      </c>
      <c r="D541" t="str">
        <f>HYPERLINK("https://inventaire.cncp.gouv.fr/fiches/2522/","2522")</f>
        <v>2522</v>
      </c>
      <c r="E541" t="str">
        <f>HYPERLINK("http://www.intercariforef.org/formations/certification-94935.html","94935")</f>
        <v>94935</v>
      </c>
      <c r="F541" s="1">
        <v>42837</v>
      </c>
      <c r="G541" s="1">
        <v>42837</v>
      </c>
    </row>
    <row r="542">
      <c r="A542" t="str">
        <v>Gestion, droit, management</v>
      </c>
      <c r="B542" t="str">
        <v>Accréditation au modèle Insights Discovery©</v>
      </c>
      <c r="C542" t="str">
        <v>Insights France</v>
      </c>
      <c r="D542" t="str">
        <f>HYPERLINK("https://inventaire.cncp.gouv.fr/fiches/3479/","3479")</f>
        <v>3479</v>
      </c>
      <c r="E542" t="str">
        <f>HYPERLINK("http://www.intercariforef.org/formations/certification-102641.html","102641")</f>
        <v>102641</v>
      </c>
      <c r="F542" s="1">
        <v>43299</v>
      </c>
      <c r="G542" s="1">
        <v>43299</v>
      </c>
    </row>
    <row r="543">
      <c r="A543" t="str">
        <v>Gestion, droit, management</v>
      </c>
      <c r="B543" t="str">
        <v>Acquérir les méthodes et outils du consultant</v>
      </c>
      <c r="C543" t="str">
        <v>DEMOS</v>
      </c>
      <c r="D543" t="str">
        <f>HYPERLINK("https://inventaire.cncp.gouv.fr/fiches/1707/","1707")</f>
        <v>1707</v>
      </c>
      <c r="E543" t="str">
        <f>HYPERLINK("http://www.intercariforef.org/formations/certification-90017.html","90017")</f>
        <v>90017</v>
      </c>
      <c r="F543" s="1">
        <v>42558</v>
      </c>
      <c r="G543" s="1">
        <v>42558</v>
      </c>
    </row>
    <row r="544">
      <c r="A544" t="str">
        <v>Gestion, droit, management</v>
      </c>
      <c r="B544" t="str">
        <v>Acteur du progrès continu</v>
      </c>
      <c r="C544" t="str">
        <v>Ecole polytechnique</v>
      </c>
      <c r="D544" t="str">
        <f>HYPERLINK("https://inventaire.cncp.gouv.fr/fiches/2366/","2366")</f>
        <v>2366</v>
      </c>
      <c r="E544" t="str">
        <f>HYPERLINK("http://www.intercariforef.org/formations/certification-95465.html","95465")</f>
        <v>95465</v>
      </c>
      <c r="F544" s="1">
        <v>42884</v>
      </c>
      <c r="G544" s="1">
        <v>42979</v>
      </c>
    </row>
    <row r="545">
      <c r="A545" t="str">
        <v>Gestion, droit, management</v>
      </c>
      <c r="B545" t="str">
        <v>Administration de société</v>
      </c>
      <c r="C545" t="str">
        <v>Édition formation entreprise (EFE)</v>
      </c>
      <c r="D545" t="str">
        <f>HYPERLINK("https://inventaire.cncp.gouv.fr/fiches/3295/","3295")</f>
        <v>3295</v>
      </c>
      <c r="E545" t="str">
        <f>HYPERLINK("http://www.intercariforef.org/formations/certification-100717.html","100717")</f>
        <v>100717</v>
      </c>
      <c r="F545" s="1">
        <v>43199</v>
      </c>
      <c r="G545" s="1">
        <v>43392</v>
      </c>
    </row>
    <row r="546">
      <c r="A546" t="str">
        <v>Gestion, droit, management</v>
      </c>
      <c r="B546" t="str">
        <v>Agrément des agents de contrôle des organismes des caisses de mutualité sociale agricole</v>
      </c>
      <c r="C546" t="str">
        <v>Caisse Centrale de la Mutualité Sociale Agricole (CCMSA)</v>
      </c>
      <c r="D546" t="str">
        <f>HYPERLINK("https://inventaire.cncp.gouv.fr/fiches/52/","52")</f>
        <v>52</v>
      </c>
      <c r="E546" t="str">
        <f>HYPERLINK("http://www.intercariforef.org/formations/certification-84531.html","84531")</f>
        <v>84531</v>
      </c>
      <c r="F546" s="1">
        <v>42114</v>
      </c>
      <c r="G546" s="1">
        <v>42114</v>
      </c>
    </row>
    <row r="547">
      <c r="A547" t="str">
        <v>Gestion, droit, management</v>
      </c>
      <c r="B547" t="str">
        <v>Animer et piloter une équipe en mode projet</v>
      </c>
      <c r="C547" t="str">
        <v>Convergence conseil RH</v>
      </c>
      <c r="D547" t="str">
        <f>HYPERLINK("https://inventaire.cncp.gouv.fr/fiches/2549/","2549")</f>
        <v>2549</v>
      </c>
      <c r="E547" t="str">
        <f>HYPERLINK("http://www.intercariforef.org/formations/certification-95243.html","95243")</f>
        <v>95243</v>
      </c>
      <c r="F547" s="1">
        <v>42851</v>
      </c>
      <c r="G547" s="1">
        <v>42851</v>
      </c>
    </row>
    <row r="548">
      <c r="A548" t="str">
        <v>Gestion, droit, management</v>
      </c>
      <c r="B548" t="str">
        <v>Appliquer le droit du travail : relations individuelles et collectives</v>
      </c>
      <c r="C548" t="str">
        <v>DEMOS</v>
      </c>
      <c r="D548" t="str">
        <f>HYPERLINK("https://inventaire.cncp.gouv.fr/fiches/3201/","3201")</f>
        <v>3201</v>
      </c>
      <c r="E548" t="str">
        <f>HYPERLINK("http://www.intercariforef.org/formations/certification-99159.html","99159")</f>
        <v>99159</v>
      </c>
      <c r="F548" s="1">
        <v>43076</v>
      </c>
      <c r="G548" s="1">
        <v>43076</v>
      </c>
    </row>
    <row r="549">
      <c r="A549" t="str">
        <v>Gestion, droit, management</v>
      </c>
      <c r="B549" t="str">
        <v>Aptitude à la culture digitale d'entreprise</v>
      </c>
      <c r="C549" t="str">
        <v>Unow</v>
      </c>
      <c r="D549" t="str">
        <f>HYPERLINK("https://inventaire.cncp.gouv.fr/fiches/3625/","3625")</f>
        <v>3625</v>
      </c>
      <c r="E549" t="str">
        <f>HYPERLINK("http://www.intercariforef.org/formations/certification-101155.html","101155")</f>
        <v>101155</v>
      </c>
      <c r="F549" s="1">
        <v>43250</v>
      </c>
      <c r="G549" s="1">
        <v>43353</v>
      </c>
    </row>
    <row r="550">
      <c r="A550" t="str">
        <v>Gestion, droit, management</v>
      </c>
      <c r="B550" t="str">
        <v>Assistanat juridique</v>
      </c>
      <c r="C550" t="str">
        <v>Édition formation entreprise (EFE)</v>
      </c>
      <c r="D550" t="str">
        <f>HYPERLINK("https://inventaire.cncp.gouv.fr/fiches/2851/","2851")</f>
        <v>2851</v>
      </c>
      <c r="E550" t="str">
        <f>HYPERLINK("http://www.intercariforef.org/formations/certification-98589.html","98589")</f>
        <v>98589</v>
      </c>
      <c r="F550" s="1">
        <v>43038</v>
      </c>
      <c r="G550" s="1">
        <v>43392</v>
      </c>
    </row>
    <row r="551" ht="26.2" customHeight="1">
      <c r="A551" t="str">
        <v>Gestion, droit, management</v>
      </c>
      <c r="B551" t="str">
        <v>Attestation de formation en matière de gestion des situations de crise et de comportement humain</v>
      </c>
      <c r="C551" t="str">
        <v>Direction des affaires maritimes</v>
      </c>
      <c r="D551" t="str">
        <f>HYPERLINK("https://inventaire.cncp.gouv.fr/fiches/725/","725")</f>
        <v>725</v>
      </c>
      <c r="E551" t="str">
        <f>HYPERLINK("http://www.intercariforef.org/formations/certification-84394.html","84394")</f>
        <v>84394</v>
      </c>
      <c r="F551" s="1">
        <v>42109</v>
      </c>
      <c r="G551" s="1">
        <v>42979</v>
      </c>
    </row>
    <row r="552">
      <c r="A552" t="str">
        <v>Gestion, droit, management</v>
      </c>
      <c r="B552" t="str">
        <v>Audit interne qualité transition</v>
      </c>
      <c r="C552" t="str">
        <v>AFNOR</v>
      </c>
      <c r="D552" t="str">
        <f>HYPERLINK("https://inventaire.cncp.gouv.fr/fiches/2813/","2813")</f>
        <v>2813</v>
      </c>
      <c r="E552" t="str">
        <f>HYPERLINK("http://www.intercariforef.org/formations/certification-98553.html","98553")</f>
        <v>98553</v>
      </c>
      <c r="F552" s="1">
        <v>43034</v>
      </c>
      <c r="G552" s="1">
        <v>43152</v>
      </c>
    </row>
    <row r="553">
      <c r="A553" t="str">
        <v>Gestion, droit, management</v>
      </c>
      <c r="B553" t="str">
        <v>BADGE « Management en Entreprise » délivré par l'Ecole des Mines de Saint Étienne (label CGE)</v>
      </c>
      <c r="C553" t="str">
        <v>École nationale supérieure des mines de Saint-Étienne</v>
      </c>
      <c r="D553" t="str">
        <f>HYPERLINK("https://inventaire.cncp.gouv.fr/fiches/519/","519")</f>
        <v>519</v>
      </c>
      <c r="E553" t="str">
        <f>HYPERLINK("http://www.intercariforef.org/formations/certification-84713.html","84713")</f>
        <v>84713</v>
      </c>
      <c r="F553" s="1">
        <v>42156</v>
      </c>
      <c r="G553" s="1">
        <v>42718</v>
      </c>
    </row>
    <row r="554">
      <c r="A554" t="str">
        <v>Gestion, droit, management</v>
      </c>
      <c r="B554" t="str">
        <v>BienoV Brevet Intégration en Entreprise Innovante</v>
      </c>
      <c r="C554" t="str">
        <v>L'Arche Aux Innovateurs</v>
      </c>
      <c r="D554" t="str">
        <f>HYPERLINK("https://inventaire.cncp.gouv.fr/fiches/2750/","2750")</f>
        <v>2750</v>
      </c>
      <c r="E554" t="str">
        <f>HYPERLINK("http://www.intercariforef.org/formations/certification-96573.html","96573")</f>
        <v>96573</v>
      </c>
      <c r="F554" s="1">
        <v>42928</v>
      </c>
      <c r="G554" s="1">
        <v>42928</v>
      </c>
    </row>
    <row r="555">
      <c r="A555" t="str">
        <v>Gestion, droit, management</v>
      </c>
      <c r="B555" t="str">
        <v>Brevet de collaborateur de chef d'entreprise artisanale maritime</v>
      </c>
      <c r="C555" t="str">
        <v>Direction des affaires maritimes</v>
      </c>
      <c r="D555" t="str">
        <f>HYPERLINK("https://inventaire.cncp.gouv.fr/fiches/890/","890")</f>
        <v>890</v>
      </c>
      <c r="E555" t="str">
        <f>HYPERLINK("http://www.intercariforef.org/formations/certification-66241.html","66241")</f>
        <v>66241</v>
      </c>
      <c r="F555" s="1">
        <v>40242</v>
      </c>
      <c r="G555" s="1">
        <v>42718</v>
      </c>
    </row>
    <row r="556" ht="26.2" customHeight="1">
      <c r="A556" t="str">
        <v>Gestion, droit, management</v>
      </c>
      <c r="B556" t="str">
        <v>Capacité à la méthodologie de projets ISO 21500</v>
      </c>
      <c r="C556" t="str">
        <v>Enseignement supérieur d'ingénierie appliquée à la thermique, l'énergie et l'environnement (ENSIATE), Globalliance, Maison de l'Industrie</v>
      </c>
      <c r="D556" t="str">
        <f>HYPERLINK("https://inventaire.cncp.gouv.fr/fiches/2749/","2749")</f>
        <v>2749</v>
      </c>
      <c r="E556" t="str">
        <f>HYPERLINK("http://www.intercariforef.org/formations/certification-99055.html","99055")</f>
        <v>99055</v>
      </c>
      <c r="F556" s="1">
        <v>43069</v>
      </c>
      <c r="G556" s="1">
        <v>43069</v>
      </c>
    </row>
    <row r="557">
      <c r="A557" t="str">
        <v>Gestion, droit, management</v>
      </c>
      <c r="B557" t="str">
        <v>Capacité d'innovation culturelle et sociale européenne</v>
      </c>
      <c r="C557" t="str">
        <v>Relais Culture Europe</v>
      </c>
      <c r="D557" t="str">
        <f>HYPERLINK("https://inventaire.cncp.gouv.fr/fiches/631/","631")</f>
        <v>631</v>
      </c>
      <c r="E557" t="str">
        <f>HYPERLINK("http://www.intercariforef.org/formations/certification-85160.html","85160")</f>
        <v>85160</v>
      </c>
      <c r="F557" s="1">
        <v>42201</v>
      </c>
      <c r="G557" s="1">
        <v>42718</v>
      </c>
    </row>
    <row r="558">
      <c r="A558" t="str">
        <v>Gestion, droit, management</v>
      </c>
      <c r="B558" t="str">
        <v>Cash management</v>
      </c>
      <c r="C558" t="str">
        <v>Association française des trésoriers d'entreprise</v>
      </c>
      <c r="D558" t="str">
        <f>HYPERLINK("https://inventaire.cncp.gouv.fr/fiches/2532/","2532")</f>
        <v>2532</v>
      </c>
      <c r="E558" t="str">
        <f>HYPERLINK("http://www.intercariforef.org/formations/certification-94837.html","94837")</f>
        <v>94837</v>
      </c>
      <c r="F558" s="1">
        <v>42836</v>
      </c>
      <c r="G558" s="1">
        <v>42836</v>
      </c>
    </row>
    <row r="559">
      <c r="A559" t="str">
        <v>Gestion, droit, management</v>
      </c>
      <c r="B559" t="str">
        <v>Certificat confiance et management</v>
      </c>
      <c r="C559" t="str">
        <v>Université Paris-Dauphine</v>
      </c>
      <c r="D559" t="str">
        <f>HYPERLINK("https://inventaire.cncp.gouv.fr/fiches/3293/","3293")</f>
        <v>3293</v>
      </c>
      <c r="E559" t="str">
        <f>HYPERLINK("http://www.intercariforef.org/formations/certification-100037.html","100037")</f>
        <v>100037</v>
      </c>
      <c r="F559" s="1">
        <v>43152</v>
      </c>
      <c r="G559" s="1">
        <v>43152</v>
      </c>
    </row>
    <row r="560">
      <c r="A560" t="str">
        <v>Gestion, droit, management</v>
      </c>
      <c r="B560" t="str">
        <v>Certificat d'Analyste Financier International (CIIA - Certified International Investment Analyst)</v>
      </c>
      <c r="C560" t="str">
        <v>Société Française des Analystes Financiers</v>
      </c>
      <c r="D560" t="str">
        <f>HYPERLINK("https://inventaire.cncp.gouv.fr/fiches/3023/","3023")</f>
        <v>3023</v>
      </c>
      <c r="E560" t="str">
        <f>HYPERLINK("http://www.intercariforef.org/formations/certification-98619.html","98619")</f>
        <v>98619</v>
      </c>
      <c r="F560" s="1">
        <v>43038</v>
      </c>
      <c r="G560" s="1">
        <v>43038</v>
      </c>
    </row>
    <row r="561">
      <c r="A561" t="str">
        <v>Gestion, droit, management</v>
      </c>
      <c r="B561" t="str">
        <v>Certificat de Compétences en Entreprise (CCE) "Animer une équipe de travail"</v>
      </c>
      <c r="C561" t="str">
        <v>CCI France - Assemblée des chambres françaises de commerce et d'industrie</v>
      </c>
      <c r="D561" t="str">
        <f>HYPERLINK("https://inventaire.cncp.gouv.fr/fiches/110/","110")</f>
        <v>110</v>
      </c>
      <c r="E561" t="str">
        <f>HYPERLINK("http://www.intercariforef.org/formations/certification-85538.html","85538")</f>
        <v>85538</v>
      </c>
      <c r="F561" s="1">
        <v>42269</v>
      </c>
      <c r="G561" s="1">
        <v>43293</v>
      </c>
    </row>
    <row r="562">
      <c r="A562" t="str">
        <v>Gestion, droit, management</v>
      </c>
      <c r="B562" t="str">
        <v>Certificat de Compétences en Entreprise (CCE) "Gérer la paie"</v>
      </c>
      <c r="C562" t="str">
        <v>CCI France - Assemblée des chambres françaises de commerce et d'industrie</v>
      </c>
      <c r="D562" t="str">
        <f>HYPERLINK("https://inventaire.cncp.gouv.fr/fiches/120/","120")</f>
        <v>120</v>
      </c>
      <c r="E562" t="str">
        <f>HYPERLINK("http://www.intercariforef.org/formations/certification-85533.html","85533")</f>
        <v>85533</v>
      </c>
      <c r="F562" s="1">
        <v>42269</v>
      </c>
      <c r="G562" s="1">
        <v>43293</v>
      </c>
    </row>
    <row r="563">
      <c r="A563" t="str">
        <v>Gestion, droit, management</v>
      </c>
      <c r="B563" t="str">
        <v>Certificat de Compétences en Entreprise (CCE) "Manager un projet"</v>
      </c>
      <c r="C563" t="str">
        <v>CCI France - Assemblée des chambres françaises de commerce et d'industrie</v>
      </c>
      <c r="D563" t="str">
        <f>HYPERLINK("https://inventaire.cncp.gouv.fr/fiches/112/","112")</f>
        <v>112</v>
      </c>
      <c r="E563" t="str">
        <f>HYPERLINK("http://www.intercariforef.org/formations/certification-85536.html","85536")</f>
        <v>85536</v>
      </c>
      <c r="F563" s="1">
        <v>42269</v>
      </c>
      <c r="G563" s="1">
        <v>43293</v>
      </c>
    </row>
    <row r="564">
      <c r="A564" t="str">
        <v>Gestion, droit, management</v>
      </c>
      <c r="B564" t="str">
        <v>Certificat de compétences en entreprise (CCE) Contribuer à la gestion de l'entreprise</v>
      </c>
      <c r="C564" t="str">
        <v>CCI France - Assemblée des chambres françaises de commerce et d'industrie</v>
      </c>
      <c r="D564" t="str">
        <f>HYPERLINK("https://inventaire.cncp.gouv.fr/fiches/3809/","3809")</f>
        <v>3809</v>
      </c>
      <c r="E564" t="str">
        <f>HYPERLINK("http://www.intercariforef.org/formations/certification-102165.html","102165")</f>
        <v>102165</v>
      </c>
      <c r="F564" s="1">
        <v>43293</v>
      </c>
      <c r="G564" s="1">
        <v>43293</v>
      </c>
    </row>
    <row r="565">
      <c r="A565" t="str">
        <v>Gestion, droit, management</v>
      </c>
      <c r="B565" t="str">
        <v>Certificat de compétences en psychologie positive au travail</v>
      </c>
      <c r="C565" t="str">
        <v>Positran</v>
      </c>
      <c r="D565" t="str">
        <f>HYPERLINK("https://inventaire.cncp.gouv.fr/fiches/3614/","3614")</f>
        <v>3614</v>
      </c>
      <c r="E565" t="str">
        <f>HYPERLINK("http://www.intercariforef.org/formations/certification-102543.html","102543")</f>
        <v>102543</v>
      </c>
      <c r="F565" s="1">
        <v>43298</v>
      </c>
      <c r="G565" s="1">
        <v>43298</v>
      </c>
    </row>
    <row r="566">
      <c r="A566" t="str">
        <v>Gestion, droit, management</v>
      </c>
      <c r="B566" t="str">
        <v>Certificat de compétences interculturelles - Réussir dans un environnement multiculturel</v>
      </c>
      <c r="C566" t="str">
        <v>Akteos</v>
      </c>
      <c r="D566" t="str">
        <f>HYPERLINK("https://inventaire.cncp.gouv.fr/fiches/3872/","3872")</f>
        <v>3872</v>
      </c>
      <c r="E566" t="str">
        <f>HYPERLINK("http://www.intercariforef.org/formations/certification-103943.html","103943")</f>
        <v>103943</v>
      </c>
      <c r="F566" s="1">
        <v>43390</v>
      </c>
      <c r="G566" s="1">
        <v>43390</v>
      </c>
    </row>
    <row r="567">
      <c r="A567" t="str">
        <v>Gestion, droit, management</v>
      </c>
      <c r="B567" t="str">
        <v>Certificat de conseil en organisation et en management du changement</v>
      </c>
      <c r="C567" t="str">
        <v>Ecole supérieure génie informatique (ANAPIJ)</v>
      </c>
      <c r="D567" t="str">
        <f>HYPERLINK("https://inventaire.cncp.gouv.fr/fiches/2548/","2548")</f>
        <v>2548</v>
      </c>
      <c r="E567" t="str">
        <f>HYPERLINK("http://www.intercariforef.org/formations/certification-96435.html","96435")</f>
        <v>96435</v>
      </c>
      <c r="F567" s="1">
        <v>42923</v>
      </c>
      <c r="G567" s="1">
        <v>42923</v>
      </c>
    </row>
    <row r="568">
      <c r="A568" t="str">
        <v>Gestion, droit, management</v>
      </c>
      <c r="B568" t="str">
        <v>Certificat de maitrise de la solution logicielle de gestion comptable et RH, QUADRA ENTREPRISES</v>
      </c>
      <c r="C568" t="str">
        <v>Cegid groupe</v>
      </c>
      <c r="D568" t="str">
        <f>HYPERLINK("https://inventaire.cncp.gouv.fr/fiches/2496/","2496")</f>
        <v>2496</v>
      </c>
      <c r="E568" t="str">
        <f>HYPERLINK("http://www.intercariforef.org/formations/certification-93789.html","93789")</f>
        <v>93789</v>
      </c>
      <c r="F568" s="1">
        <v>42725</v>
      </c>
      <c r="G568" s="1">
        <v>42725</v>
      </c>
    </row>
    <row r="569" ht="26.2" customHeight="1">
      <c r="A569" t="str">
        <v>Gestion, droit, management</v>
      </c>
      <c r="B569" t="str">
        <v>Certificat de maîtrise de la solution logicielle de gestion comptable, fiscale et sociale, QUADRA EXPERT</v>
      </c>
      <c r="C569" t="str">
        <v>Cegid groupe</v>
      </c>
      <c r="D569" t="str">
        <f>HYPERLINK("https://inventaire.cncp.gouv.fr/fiches/2977/","2977")</f>
        <v>2977</v>
      </c>
      <c r="E569" t="str">
        <f>HYPERLINK("http://www.intercariforef.org/formations/certification-99251.html","99251")</f>
        <v>99251</v>
      </c>
      <c r="F569" s="1">
        <v>43080</v>
      </c>
      <c r="G569" s="1">
        <v>43080</v>
      </c>
    </row>
    <row r="570" ht="26.2" customHeight="1">
      <c r="A570" t="str">
        <v>Gestion, droit, management</v>
      </c>
      <c r="B570" t="str">
        <v>Certificat de Maîtrise de la solution logicielle de gestion comptable, fiscale, sociale et juridique, CEGID EXPERT</v>
      </c>
      <c r="C570" t="str">
        <v>Cegid groupe</v>
      </c>
      <c r="D570" t="str">
        <f>HYPERLINK("https://inventaire.cncp.gouv.fr/fiches/2981/","2981")</f>
        <v>2981</v>
      </c>
      <c r="E570" t="str">
        <f>HYPERLINK("http://www.intercariforef.org/formations/certification-101215.html","101215")</f>
        <v>101215</v>
      </c>
      <c r="F570" s="1">
        <v>43251</v>
      </c>
      <c r="G570" s="1">
        <v>43251</v>
      </c>
    </row>
    <row r="571">
      <c r="A571" t="str">
        <v>Gestion, droit, management</v>
      </c>
      <c r="B571" t="str">
        <v>Certificat d'entrepreneur du PCEE</v>
      </c>
      <c r="C571" t="str">
        <v>Institut Européen de l'Entrepreneuriat</v>
      </c>
      <c r="D571" t="str">
        <f>HYPERLINK("https://inventaire.cncp.gouv.fr/fiches/1583/","1583")</f>
        <v>1583</v>
      </c>
      <c r="E571" t="str">
        <f>HYPERLINK("http://www.intercariforef.org/formations/certification-88203.html","88203")</f>
        <v>88203</v>
      </c>
      <c r="F571" s="1">
        <v>42450</v>
      </c>
      <c r="G571" s="1">
        <v>42718</v>
      </c>
    </row>
    <row r="572">
      <c r="A572" t="str">
        <v>Gestion, droit, management</v>
      </c>
      <c r="B572" t="str">
        <v>Certificat Ecole du Management - cycle « animateur d'équipe »</v>
      </c>
      <c r="C572" t="str">
        <v>Union des industries et métiers de la métallurgie (UIMM)</v>
      </c>
      <c r="D572" t="str">
        <f>HYPERLINK("https://inventaire.cncp.gouv.fr/fiches/354/","354")</f>
        <v>354</v>
      </c>
      <c r="E572" t="str">
        <f>HYPERLINK("http://www.intercariforef.org/formations/certification-84572.html","84572")</f>
        <v>84572</v>
      </c>
      <c r="F572" s="1">
        <v>42129</v>
      </c>
      <c r="G572" s="1">
        <v>42979</v>
      </c>
    </row>
    <row r="573">
      <c r="A573" t="str">
        <v>Gestion, droit, management</v>
      </c>
      <c r="B573" t="str">
        <v>Certificat Ecole du Management - cycle « responsable d'équipe »</v>
      </c>
      <c r="C573" t="str">
        <v>Union des industries et métiers de la métallurgie (UIMM)</v>
      </c>
      <c r="D573" t="str">
        <f>HYPERLINK("https://inventaire.cncp.gouv.fr/fiches/359/","359")</f>
        <v>359</v>
      </c>
      <c r="E573" t="str">
        <f>HYPERLINK("http://www.intercariforef.org/formations/certification-84573.html","84573")</f>
        <v>84573</v>
      </c>
      <c r="F573" s="1">
        <v>42129</v>
      </c>
      <c r="G573" s="1">
        <v>42979</v>
      </c>
    </row>
    <row r="574">
      <c r="A574" t="str">
        <v>Gestion, droit, management</v>
      </c>
      <c r="B574" t="str">
        <v>Certificat Ecole du Management - cycle « responsable d'unité, de service, de projet »</v>
      </c>
      <c r="C574" t="str">
        <v>Union des industries et métiers de la métallurgie (UIMM)</v>
      </c>
      <c r="D574" t="str">
        <f>HYPERLINK("https://inventaire.cncp.gouv.fr/fiches/361/","361")</f>
        <v>361</v>
      </c>
      <c r="E574" t="str">
        <f>HYPERLINK("http://www.intercariforef.org/formations/certification-84571.html","84571")</f>
        <v>84571</v>
      </c>
      <c r="F574" s="1">
        <v>42129</v>
      </c>
      <c r="G574" s="1">
        <v>42979</v>
      </c>
    </row>
    <row r="575">
      <c r="A575" t="str">
        <v>Gestion, droit, management</v>
      </c>
      <c r="B575" t="str">
        <v>Certificat FLF Contrôle de gestion</v>
      </c>
      <c r="C575" t="str">
        <v>Francis Lefebvre Formation</v>
      </c>
      <c r="D575" t="str">
        <f>HYPERLINK("https://inventaire.cncp.gouv.fr/fiches/2770/","2770")</f>
        <v>2770</v>
      </c>
      <c r="E575" t="str">
        <f>HYPERLINK("http://www.intercariforef.org/formations/certification-94789.html","94789")</f>
        <v>94789</v>
      </c>
      <c r="F575" s="1">
        <v>42836</v>
      </c>
      <c r="G575" s="1">
        <v>42836</v>
      </c>
    </row>
    <row r="576">
      <c r="A576" t="str">
        <v>Gestion, droit, management</v>
      </c>
      <c r="B576" t="str">
        <v>Certificat FLF Droit des sociétés</v>
      </c>
      <c r="C576" t="str">
        <v>Francis Lefebvre Formation</v>
      </c>
      <c r="D576" t="str">
        <f>HYPERLINK("https://inventaire.cncp.gouv.fr/fiches/3180/","3180")</f>
        <v>3180</v>
      </c>
      <c r="E576" t="str">
        <f>HYPERLINK("http://www.intercariforef.org/formations/certification-99205.html","99205")</f>
        <v>99205</v>
      </c>
      <c r="F576" s="1">
        <v>43076</v>
      </c>
      <c r="G576" s="1">
        <v>43076</v>
      </c>
    </row>
    <row r="577">
      <c r="A577" t="str">
        <v>Gestion, droit, management</v>
      </c>
      <c r="B577" t="str">
        <v>Certificat FLF Droit Social</v>
      </c>
      <c r="C577" t="str">
        <v>Francis Lefebvre Formation</v>
      </c>
      <c r="D577" t="str">
        <f>HYPERLINK("https://inventaire.cncp.gouv.fr/fiches/3178/","3178")</f>
        <v>3178</v>
      </c>
      <c r="E577" t="str">
        <f>HYPERLINK("http://www.intercariforef.org/formations/certification-99207.html","99207")</f>
        <v>99207</v>
      </c>
      <c r="F577" s="1">
        <v>43076</v>
      </c>
      <c r="G577" s="1">
        <v>43076</v>
      </c>
    </row>
    <row r="578">
      <c r="A578" t="str">
        <v>Gestion, droit, management</v>
      </c>
      <c r="B578" t="str">
        <v>Certificat FLF Fiscalité de l'entreprise</v>
      </c>
      <c r="C578" t="str">
        <v>Francis Lefebvre Formation</v>
      </c>
      <c r="D578" t="str">
        <f>HYPERLINK("https://inventaire.cncp.gouv.fr/fiches/3213/","3213")</f>
        <v>3213</v>
      </c>
      <c r="E578" t="str">
        <f>HYPERLINK("http://www.intercariforef.org/formations/certification-99193.html","99193")</f>
        <v>99193</v>
      </c>
      <c r="F578" s="1">
        <v>43076</v>
      </c>
      <c r="G578" s="1">
        <v>43076</v>
      </c>
    </row>
    <row r="579">
      <c r="A579" t="str">
        <v>Gestion, droit, management</v>
      </c>
      <c r="B579" t="str">
        <v>Certificat IFORMAP de compétence en marchés publics</v>
      </c>
      <c r="C579" t="str">
        <v>Institut de formation aux marchés publics</v>
      </c>
      <c r="D579" t="str">
        <f>HYPERLINK("https://inventaire.cncp.gouv.fr/fiches/122/","122")</f>
        <v>122</v>
      </c>
      <c r="E579" t="str">
        <f>HYPERLINK("http://www.intercariforef.org/formations/certification-84999.html","84999")</f>
        <v>84999</v>
      </c>
      <c r="F579" s="1">
        <v>42184</v>
      </c>
      <c r="G579" s="1">
        <v>42184</v>
      </c>
    </row>
    <row r="580">
      <c r="A580" t="str">
        <v>Gestion, droit, management</v>
      </c>
      <c r="B580" t="str">
        <v>Certificat international en finance d'entreprise (ICCF)</v>
      </c>
      <c r="C580" t="str">
        <v>HEC Paris</v>
      </c>
      <c r="D580" t="str">
        <f>HYPERLINK("https://inventaire.cncp.gouv.fr/fiches/1784/","1784")</f>
        <v>1784</v>
      </c>
      <c r="E580" t="str">
        <f>HYPERLINK("http://www.intercariforef.org/formations/certification-88617.html","88617")</f>
        <v>88617</v>
      </c>
      <c r="F580" s="1">
        <v>42485</v>
      </c>
      <c r="G580" s="1">
        <v>42718</v>
      </c>
    </row>
    <row r="581">
      <c r="A581" t="str">
        <v>Gestion, droit, management</v>
      </c>
      <c r="B581" t="str">
        <v>Certificat leadership et management complexe</v>
      </c>
      <c r="C581" t="str">
        <v>Sciences Po Executive Education</v>
      </c>
      <c r="D581" t="str">
        <f>HYPERLINK("https://inventaire.cncp.gouv.fr/fiches/1964/","1964")</f>
        <v>1964</v>
      </c>
      <c r="E581" t="str">
        <f>HYPERLINK("http://www.intercariforef.org/formations/certification-90059.html","90059")</f>
        <v>90059</v>
      </c>
      <c r="F581" s="1">
        <v>42558</v>
      </c>
      <c r="G581" s="1">
        <v>42718</v>
      </c>
    </row>
    <row r="582" ht="26.2" customHeight="1">
      <c r="A582" t="str">
        <v>Gestion, droit, management</v>
      </c>
      <c r="B582" t="str">
        <v>Certificat national de compétence de mandataire judiciaire à la protection des majeurs mention mesure d'accompagnement judiciaire</v>
      </c>
      <c r="C582" t="str">
        <v>Ministère du travail</v>
      </c>
      <c r="D582" t="str">
        <f>HYPERLINK("https://inventaire.cncp.gouv.fr/fiches/2923/","2923")</f>
        <v>2923</v>
      </c>
      <c r="E582" t="str">
        <f>HYPERLINK("http://www.intercariforef.org/formations/certification-62331.html","62331")</f>
        <v>62331</v>
      </c>
      <c r="F582" s="1">
        <v>39828</v>
      </c>
      <c r="G582" s="1">
        <v>43125</v>
      </c>
    </row>
    <row r="583" ht="26.2" customHeight="1">
      <c r="A583" t="str">
        <v>Gestion, droit, management</v>
      </c>
      <c r="B583" t="str">
        <v>Certificat national de compétence de mandataire judiciaire à la protection des majeurs mention mesure judiciaire à la protection des majeurs</v>
      </c>
      <c r="C583" t="str">
        <v>Ministère du travail</v>
      </c>
      <c r="D583" t="str">
        <f>HYPERLINK("https://inventaire.cncp.gouv.fr/fiches/2923/","2923")</f>
        <v>2923</v>
      </c>
      <c r="E583" t="str">
        <f>HYPERLINK("http://www.intercariforef.org/formations/certification-62326.html","62326")</f>
        <v>62326</v>
      </c>
      <c r="F583" s="1">
        <v>39828</v>
      </c>
      <c r="G583" s="1">
        <v>43125</v>
      </c>
    </row>
    <row r="584">
      <c r="A584" t="str">
        <v>Gestion, droit, management</v>
      </c>
      <c r="B584" t="str">
        <v>Certificat Professionnel de Contract Management - CPCM</v>
      </c>
      <c r="C584" t="str">
        <v>Ecole Européenne de Contract Management - E2CM</v>
      </c>
      <c r="D584" t="str">
        <f>HYPERLINK("https://inventaire.cncp.gouv.fr/fiches/2316/","2316")</f>
        <v>2316</v>
      </c>
      <c r="E584" t="str">
        <f>HYPERLINK("http://www.intercariforef.org/formations/certification-93939.html","93939")</f>
        <v>93939</v>
      </c>
      <c r="F584" s="1">
        <v>42744</v>
      </c>
      <c r="G584" s="1">
        <v>42744</v>
      </c>
    </row>
    <row r="585">
      <c r="A585" t="str">
        <v>Gestion, droit, management</v>
      </c>
      <c r="B585" t="str">
        <v>Certification "Finance pour non financiers dans les coopératives agricoles et leurs filiales"</v>
      </c>
      <c r="C585" t="str">
        <v>Services Coop de France</v>
      </c>
      <c r="D585" t="str">
        <f>HYPERLINK("https://inventaire.cncp.gouv.fr/fiches/2301/","2301")</f>
        <v>2301</v>
      </c>
      <c r="E585" t="str">
        <f>HYPERLINK("http://www.intercariforef.org/formations/certification-93769.html","93769")</f>
        <v>93769</v>
      </c>
      <c r="F585" s="1">
        <v>42725</v>
      </c>
      <c r="G585" s="1">
        <v>42725</v>
      </c>
    </row>
    <row r="586" ht="26.2" customHeight="1">
      <c r="A586" t="str">
        <v>Gestion, droit, management</v>
      </c>
      <c r="B586" t="str">
        <v>Certification "Perfectionnement Contrôle de gestion dans les coopératives agricoles et leurs filiales"</v>
      </c>
      <c r="C586" t="str">
        <v>Services Coop de France</v>
      </c>
      <c r="D586" t="str">
        <f>HYPERLINK("https://inventaire.cncp.gouv.fr/fiches/2303/","2303")</f>
        <v>2303</v>
      </c>
      <c r="E586" t="str">
        <f>HYPERLINK("http://www.intercariforef.org/formations/certification-93767.html","93767")</f>
        <v>93767</v>
      </c>
      <c r="F586" s="1">
        <v>42725</v>
      </c>
      <c r="G586" s="1">
        <v>42725</v>
      </c>
    </row>
    <row r="587">
      <c r="A587" t="str">
        <v>Gestion, droit, management</v>
      </c>
      <c r="B587" t="str">
        <v>Certification Certified Business Process Associate (CBPA)</v>
      </c>
      <c r="C587" t="str">
        <v>AFNOR</v>
      </c>
      <c r="D587" t="str">
        <f>HYPERLINK("https://inventaire.cncp.gouv.fr/fiches/3975/","3975")</f>
        <v>3975</v>
      </c>
      <c r="E587" t="str">
        <f>HYPERLINK("http://www.intercariforef.org/formations/certification-103919.html","103919")</f>
        <v>103919</v>
      </c>
      <c r="F587" s="1">
        <v>43390</v>
      </c>
      <c r="G587" s="1">
        <v>43390</v>
      </c>
    </row>
    <row r="588">
      <c r="A588" t="str">
        <v>Gestion, droit, management</v>
      </c>
      <c r="B588" t="str">
        <v>Certification de Compétence d'Ingénieur Professionnel en Organisation du Travail</v>
      </c>
      <c r="C588" t="str">
        <v>Société Nationale des Ingénieurs Professionnels de France</v>
      </c>
      <c r="D588" t="str">
        <f>HYPERLINK("https://inventaire.cncp.gouv.fr/fiches/2908/","2908")</f>
        <v>2908</v>
      </c>
      <c r="E588" t="str">
        <f>HYPERLINK("http://www.intercariforef.org/formations/certification-98629.html","98629")</f>
        <v>98629</v>
      </c>
      <c r="F588" s="1">
        <v>43038</v>
      </c>
      <c r="G588" s="1">
        <v>43038</v>
      </c>
    </row>
    <row r="589">
      <c r="A589" t="str">
        <v>Gestion, droit, management</v>
      </c>
      <c r="B589" t="str">
        <v>Certification DiGiTT</v>
      </c>
      <c r="C589" t="str">
        <v>Alternative Digitale</v>
      </c>
      <c r="D589" t="str">
        <f>HYPERLINK("https://inventaire.cncp.gouv.fr/fiches/2636/","2636")</f>
        <v>2636</v>
      </c>
      <c r="E589" t="str">
        <f>HYPERLINK("http://www.intercariforef.org/formations/certification-94891.html","94891")</f>
        <v>94891</v>
      </c>
      <c r="F589" s="1">
        <v>42836</v>
      </c>
      <c r="G589" s="1">
        <v>42836</v>
      </c>
    </row>
    <row r="590">
      <c r="A590" t="str">
        <v>Gestion, droit, management</v>
      </c>
      <c r="B590" t="str">
        <v>Certification Lean Management Black Belt</v>
      </c>
      <c r="C590" t="str">
        <v>AFNOR</v>
      </c>
      <c r="D590" t="str">
        <f>HYPERLINK("https://inventaire.cncp.gouv.fr/fiches/3028/","3028")</f>
        <v>3028</v>
      </c>
      <c r="E590" t="str">
        <f>HYPERLINK("http://www.intercariforef.org/formations/certification-100069.html","100069")</f>
        <v>100069</v>
      </c>
      <c r="F590" s="1">
        <v>43152</v>
      </c>
      <c r="G590" s="1">
        <v>43152</v>
      </c>
    </row>
    <row r="591">
      <c r="A591" t="str">
        <v>Gestion, droit, management</v>
      </c>
      <c r="B591" t="str">
        <v>Certification Lean Management Green Belt</v>
      </c>
      <c r="C591" t="str">
        <v>AFNOR</v>
      </c>
      <c r="D591" t="str">
        <f>HYPERLINK("https://inventaire.cncp.gouv.fr/fiches/3026/","3026")</f>
        <v>3026</v>
      </c>
      <c r="E591" t="str">
        <f>HYPERLINK("http://www.intercariforef.org/formations/certification-100071.html","100071")</f>
        <v>100071</v>
      </c>
      <c r="F591" s="1">
        <v>43152</v>
      </c>
      <c r="G591" s="1">
        <v>43152</v>
      </c>
    </row>
    <row r="592" ht="26.2" customHeight="1">
      <c r="A592" t="str">
        <v>Gestion, droit, management</v>
      </c>
      <c r="B592" t="str">
        <v>Certification Niveau 1 - Pratique de base de l'animation de groupes de Codéveloppement professionnel et managérial</v>
      </c>
      <c r="C592" t="str">
        <v>Anima - Cecodev</v>
      </c>
      <c r="D592" t="str">
        <f>HYPERLINK("https://inventaire.cncp.gouv.fr/fiches/2809/","2809")</f>
        <v>2809</v>
      </c>
      <c r="E592" t="str">
        <f>HYPERLINK("http://www.intercariforef.org/formations/certification-95427.html","95427")</f>
        <v>95427</v>
      </c>
      <c r="F592" s="1">
        <v>42884</v>
      </c>
      <c r="G592" s="1">
        <v>42884</v>
      </c>
    </row>
    <row r="593" ht="26.2" customHeight="1">
      <c r="A593" t="str">
        <v>Gestion, droit, management</v>
      </c>
      <c r="B593" t="str">
        <v>Certification Niveau 2 - Pratique avancée de l'animation de groupes et de l'ingénierie d'interventions de Codéveloppement professionnel et managérial</v>
      </c>
      <c r="C593" t="str">
        <v>Anima - Cecodev</v>
      </c>
      <c r="D593" t="str">
        <f>HYPERLINK("https://inventaire.cncp.gouv.fr/fiches/2814/","2814")</f>
        <v>2814</v>
      </c>
      <c r="E593" t="str">
        <f>HYPERLINK("http://www.intercariforef.org/formations/certification-95429.html","95429")</f>
        <v>95429</v>
      </c>
      <c r="F593" s="1">
        <v>42884</v>
      </c>
      <c r="G593" s="1">
        <v>42884</v>
      </c>
    </row>
    <row r="594">
      <c r="A594" t="str">
        <v>Gestion, droit, management</v>
      </c>
      <c r="B594" t="str">
        <v>Certification PECB - Audit du système de management de la continuité d'activité (SMCA)</v>
      </c>
      <c r="C594" t="str">
        <v>PECB Groupe</v>
      </c>
      <c r="D594" t="str">
        <f>HYPERLINK("https://inventaire.cncp.gouv.fr/fiches/3202/","3202")</f>
        <v>3202</v>
      </c>
      <c r="E594" t="str">
        <f>HYPERLINK("http://www.intercariforef.org/formations/certification-104043.html","104043")</f>
        <v>104043</v>
      </c>
      <c r="F594" s="1">
        <v>43392</v>
      </c>
      <c r="G594" s="1">
        <v>43392</v>
      </c>
    </row>
    <row r="595">
      <c r="A595" t="str">
        <v>Gestion, droit, management</v>
      </c>
      <c r="B595" t="str">
        <v>Certification PECB - Fondamentaux de la continuité d'activité</v>
      </c>
      <c r="C595" t="str">
        <v>PECB Groupe</v>
      </c>
      <c r="D595" t="str">
        <f>HYPERLINK("https://inventaire.cncp.gouv.fr/fiches/3209/","3209")</f>
        <v>3209</v>
      </c>
      <c r="E595" t="str">
        <f>HYPERLINK("http://www.intercariforef.org/formations/certification-104037.html","104037")</f>
        <v>104037</v>
      </c>
      <c r="F595" s="1">
        <v>43392</v>
      </c>
      <c r="G595" s="1">
        <v>43392</v>
      </c>
    </row>
    <row r="596" ht="26.2" customHeight="1">
      <c r="A596" t="str">
        <v>Gestion, droit, management</v>
      </c>
      <c r="B596" t="str">
        <v>Certification PECB - Mise en oeuvre du système de management de la continuité d'activité (SMCA)</v>
      </c>
      <c r="C596" t="str">
        <v>PECB Groupe</v>
      </c>
      <c r="D596" t="str">
        <f>HYPERLINK("https://inventaire.cncp.gouv.fr/fiches/3198/","3198")</f>
        <v>3198</v>
      </c>
      <c r="E596" t="str">
        <f>HYPERLINK("http://www.intercariforef.org/formations/certification-104045.html","104045")</f>
        <v>104045</v>
      </c>
      <c r="F596" s="1">
        <v>43392</v>
      </c>
      <c r="G596" s="1">
        <v>43392</v>
      </c>
    </row>
    <row r="597" ht="26.2" customHeight="1">
      <c r="A597" t="str">
        <v>Gestion, droit, management</v>
      </c>
      <c r="B597" t="str">
        <v>Certification professionnelle management opérationnel de la relation de service tourisme</v>
      </c>
      <c r="C597" t="str">
        <v>Certidev, CPNE de la restauration commerciale libre-service (cafétérias), CPNE de la restauration de collectivités, CPNE des casinos, CPNE des industries hôtelières</v>
      </c>
      <c r="D597" t="str">
        <f>HYPERLINK("https://inventaire.cncp.gouv.fr/fiches/2644/","2644")</f>
        <v>2644</v>
      </c>
      <c r="E597" t="str">
        <f>HYPERLINK("http://www.intercariforef.org/formations/certification-101217.html","101217")</f>
        <v>101217</v>
      </c>
      <c r="F597" s="1">
        <v>43251</v>
      </c>
      <c r="G597" s="1">
        <v>43251</v>
      </c>
    </row>
    <row r="598">
      <c r="A598" t="str">
        <v>Gestion, droit, management</v>
      </c>
      <c r="B598" t="str">
        <v>Certification Qualigram - Pyx4 Process</v>
      </c>
      <c r="C598" t="str">
        <v>PYX4</v>
      </c>
      <c r="D598" t="str">
        <f>HYPERLINK("https://inventaire.cncp.gouv.fr/fiches/2518/","2518")</f>
        <v>2518</v>
      </c>
      <c r="E598" t="str">
        <f>HYPERLINK("http://www.intercariforef.org/formations/certification-97087.html","97087")</f>
        <v>97087</v>
      </c>
      <c r="F598" s="1">
        <v>43003</v>
      </c>
      <c r="G598" s="1">
        <v>43003</v>
      </c>
    </row>
    <row r="599">
      <c r="A599" t="str">
        <v>Gestion, droit, management</v>
      </c>
      <c r="B599" t="str">
        <v>Certified Associate in Project Management (Assistant certifié du Chef de Projet)</v>
      </c>
      <c r="C599" t="str">
        <v>PMI France</v>
      </c>
      <c r="D599" t="str">
        <f>HYPERLINK("https://inventaire.cncp.gouv.fr/fiches/1449/","1449")</f>
        <v>1449</v>
      </c>
      <c r="E599" t="str">
        <f>HYPERLINK("http://www.intercariforef.org/formations/certification-88509.html","88509")</f>
        <v>88509</v>
      </c>
      <c r="F599" s="1">
        <v>42466</v>
      </c>
      <c r="G599" s="1">
        <v>42466</v>
      </c>
    </row>
    <row r="600">
      <c r="A600" t="str">
        <v>Gestion, droit, management</v>
      </c>
      <c r="B600" t="str">
        <v>Certified Business Process Professional (CBPP)</v>
      </c>
      <c r="C600" t="str">
        <v>AFNOR</v>
      </c>
      <c r="D600" t="str">
        <f>HYPERLINK("https://inventaire.cncp.gouv.fr/fiches/3977/","3977")</f>
        <v>3977</v>
      </c>
      <c r="E600" t="str">
        <f>HYPERLINK("http://www.intercariforef.org/formations/certification-103917.html","103917")</f>
        <v>103917</v>
      </c>
      <c r="F600" s="1">
        <v>43390</v>
      </c>
      <c r="G600" s="1">
        <v>43390</v>
      </c>
    </row>
    <row r="601">
      <c r="A601" t="str">
        <v>Gestion, droit, management</v>
      </c>
      <c r="B601" t="str">
        <v>Coacher les équipes ou les individus par l'agilité comportementale - Niveau 2 (BADGE)</v>
      </c>
      <c r="C601" t="str">
        <v>Grenoble école de management</v>
      </c>
      <c r="D601" t="str">
        <f>HYPERLINK("https://inventaire.cncp.gouv.fr/fiches/2539/","2539")</f>
        <v>2539</v>
      </c>
      <c r="E601" t="str">
        <f>HYPERLINK("http://www.intercariforef.org/formations/certification-94933.html","94933")</f>
        <v>94933</v>
      </c>
      <c r="F601" s="1">
        <v>42837</v>
      </c>
      <c r="G601" s="1">
        <v>42837</v>
      </c>
    </row>
    <row r="602">
      <c r="A602" t="str">
        <v>Gestion, droit, management</v>
      </c>
      <c r="B602" t="str">
        <v>Coacher les talents</v>
      </c>
      <c r="C602" t="str">
        <v>IDAE Consulting</v>
      </c>
      <c r="D602" t="str">
        <f>HYPERLINK("https://inventaire.cncp.gouv.fr/fiches/3836/","3836")</f>
        <v>3836</v>
      </c>
      <c r="E602" t="str">
        <f>HYPERLINK("http://www.intercariforef.org/formations/certification-104075.html","104075")</f>
        <v>104075</v>
      </c>
      <c r="F602" s="1">
        <v>43396</v>
      </c>
      <c r="G602" s="1">
        <v>43396</v>
      </c>
    </row>
    <row r="603">
      <c r="A603" t="str">
        <v>Gestion, droit, management</v>
      </c>
      <c r="B603" t="str">
        <v>Coaching managérial des individus, des équipes et des organisations</v>
      </c>
      <c r="C603" t="str">
        <v>La contre-allée, centre international du Coach</v>
      </c>
      <c r="D603" t="str">
        <f>HYPERLINK("https://inventaire.cncp.gouv.fr/fiches/3403/","3403")</f>
        <v>3403</v>
      </c>
      <c r="E603" t="str">
        <f>HYPERLINK("http://www.intercariforef.org/formations/certification-101179.html","101179")</f>
        <v>101179</v>
      </c>
      <c r="F603" s="1">
        <v>43250</v>
      </c>
      <c r="G603" s="1">
        <v>43250</v>
      </c>
    </row>
    <row r="604">
      <c r="A604" t="str">
        <v>Gestion, droit, management</v>
      </c>
      <c r="B604" t="str">
        <v>Coaching professionnel</v>
      </c>
      <c r="C604" t="str">
        <v>Cegos</v>
      </c>
      <c r="D604" t="str">
        <f>HYPERLINK("https://inventaire.cncp.gouv.fr/fiches/3506/","3506")</f>
        <v>3506</v>
      </c>
      <c r="E604" t="str">
        <f>HYPERLINK("http://www.intercariforef.org/formations/certification-102635.html","102635")</f>
        <v>102635</v>
      </c>
      <c r="F604" s="1">
        <v>43299</v>
      </c>
      <c r="G604" s="1">
        <v>43299</v>
      </c>
    </row>
    <row r="605">
      <c r="A605" t="str">
        <v>Gestion, droit, management</v>
      </c>
      <c r="B605" t="str">
        <v>Communication et animation d'équipe</v>
      </c>
      <c r="C605" t="str">
        <v>CLEF SAS - CP Formation</v>
      </c>
      <c r="D605" t="str">
        <f>HYPERLINK("https://inventaire.cncp.gouv.fr/fiches/3339/","3339")</f>
        <v>3339</v>
      </c>
      <c r="E605" t="str">
        <f>HYPERLINK("http://www.intercariforef.org/formations/certification-100165.html","100165")</f>
        <v>100165</v>
      </c>
      <c r="F605" s="1">
        <v>43154</v>
      </c>
      <c r="G605" s="1">
        <v>43154</v>
      </c>
    </row>
    <row r="606">
      <c r="A606" t="str">
        <v>Gestion, droit, management</v>
      </c>
      <c r="B606" t="str">
        <v>Communication et leadership</v>
      </c>
      <c r="C606" t="str">
        <v>Valeat Formation</v>
      </c>
      <c r="D606" t="str">
        <f>HYPERLINK("https://inventaire.cncp.gouv.fr/fiches/2100/","2100")</f>
        <v>2100</v>
      </c>
      <c r="E606" t="str">
        <f>HYPERLINK("http://www.intercariforef.org/formations/certification-94849.html","94849")</f>
        <v>94849</v>
      </c>
      <c r="F606" s="1">
        <v>42836</v>
      </c>
      <c r="G606" s="1">
        <v>43046</v>
      </c>
    </row>
    <row r="607">
      <c r="A607" t="str">
        <v>Gestion, droit, management</v>
      </c>
      <c r="B607" t="str">
        <v>Compétences coach pour managers</v>
      </c>
      <c r="C607" t="str">
        <v>Institut des professions des affaires et du commerce (IPAC)</v>
      </c>
      <c r="D607" t="str">
        <f>HYPERLINK("https://inventaire.cncp.gouv.fr/fiches/1730/","1730")</f>
        <v>1730</v>
      </c>
      <c r="E607" t="str">
        <f>HYPERLINK("http://www.intercariforef.org/formations/certification-96433.html","96433")</f>
        <v>96433</v>
      </c>
      <c r="F607" s="1">
        <v>42923</v>
      </c>
      <c r="G607" s="1">
        <v>42923</v>
      </c>
    </row>
    <row r="608">
      <c r="A608" t="str">
        <v>Gestion, droit, management</v>
      </c>
      <c r="B608" t="str">
        <v>Comptabilité d'entreprise</v>
      </c>
      <c r="C608" t="str">
        <v>Édition formation entreprise (EFE)</v>
      </c>
      <c r="D608" t="str">
        <f>HYPERLINK("https://inventaire.cncp.gouv.fr/fiches/2842/","2842")</f>
        <v>2842</v>
      </c>
      <c r="E608" t="str">
        <f>HYPERLINK("http://www.intercariforef.org/formations/certification-98593.html","98593")</f>
        <v>98593</v>
      </c>
      <c r="F608" s="1">
        <v>43038</v>
      </c>
      <c r="G608" s="1">
        <v>43392</v>
      </c>
    </row>
    <row r="609">
      <c r="A609" t="str">
        <v>Gestion, droit, management</v>
      </c>
      <c r="B609" t="str">
        <v>Comptabilité d'entreprise</v>
      </c>
      <c r="C609" t="str">
        <v>Cegos</v>
      </c>
      <c r="D609" t="str">
        <f>HYPERLINK("https://inventaire.cncp.gouv.fr/fiches/3125/","3125")</f>
        <v>3125</v>
      </c>
      <c r="E609" t="str">
        <f>HYPERLINK("http://www.intercariforef.org/formations/certification-100135.html","100135")</f>
        <v>100135</v>
      </c>
      <c r="F609" s="1">
        <v>43153</v>
      </c>
      <c r="G609" s="1">
        <v>43153</v>
      </c>
    </row>
    <row r="610">
      <c r="A610" t="str">
        <v>Gestion, droit, management</v>
      </c>
      <c r="B610" t="str">
        <v>Conception et mise en oeuvre de la stratégie</v>
      </c>
      <c r="C610" t="str">
        <v>Centre européen d'éducation permanente</v>
      </c>
      <c r="D610" t="str">
        <f>HYPERLINK("https://inventaire.cncp.gouv.fr/fiches/2413/","2413")</f>
        <v>2413</v>
      </c>
      <c r="E610" t="str">
        <f>HYPERLINK("http://www.intercariforef.org/formations/certification-94877.html","94877")</f>
        <v>94877</v>
      </c>
      <c r="F610" s="1">
        <v>42836</v>
      </c>
      <c r="G610" s="1">
        <v>42836</v>
      </c>
    </row>
    <row r="611">
      <c r="A611" t="str">
        <v>Gestion, droit, management</v>
      </c>
      <c r="B611" t="str">
        <v>Conception et mise en oeuvre de la stratégie dans un contexte de changement</v>
      </c>
      <c r="C611" t="str">
        <v>HEC Paris</v>
      </c>
      <c r="D611" t="str">
        <f>HYPERLINK("https://inventaire.cncp.gouv.fr/fiches/2760/","2760")</f>
        <v>2760</v>
      </c>
      <c r="E611" t="str">
        <f>HYPERLINK("http://www.intercariforef.org/formations/certification-94807.html","94807")</f>
        <v>94807</v>
      </c>
      <c r="F611" s="1">
        <v>42836</v>
      </c>
      <c r="G611" s="1">
        <v>42836</v>
      </c>
    </row>
    <row r="612">
      <c r="A612" t="str">
        <v>Gestion, droit, management</v>
      </c>
      <c r="B612" t="str">
        <v>Conception et mise en oeuvre d'un projet artistique</v>
      </c>
      <c r="C612" t="str">
        <v>Centre européen des examens de la fédération européenne des écoles</v>
      </c>
      <c r="D612" t="str">
        <f>HYPERLINK("https://inventaire.cncp.gouv.fr/fiches/3871/","3871")</f>
        <v>3871</v>
      </c>
      <c r="E612" t="str">
        <f>HYPERLINK("http://www.intercariforef.org/formations/certification-104133.html","104133")</f>
        <v>104133</v>
      </c>
      <c r="F612" s="1">
        <v>43398</v>
      </c>
      <c r="G612" s="1">
        <v>43398</v>
      </c>
    </row>
    <row r="613">
      <c r="A613" t="str">
        <v>Gestion, droit, management</v>
      </c>
      <c r="B613" t="str">
        <v>Concevoir et animer des ateliers coopératifs</v>
      </c>
      <c r="C613" t="str">
        <v>AVEA Partners</v>
      </c>
      <c r="D613" t="str">
        <f>HYPERLINK("https://inventaire.cncp.gouv.fr/fiches/3018/","3018")</f>
        <v>3018</v>
      </c>
      <c r="E613" t="str">
        <f>HYPERLINK("http://www.intercariforef.org/formations/certification-100523.html","100523")</f>
        <v>100523</v>
      </c>
      <c r="F613" s="1">
        <v>43186</v>
      </c>
      <c r="G613" s="1">
        <v>43186</v>
      </c>
    </row>
    <row r="614" ht="26.2" customHeight="1">
      <c r="A614" t="str">
        <v>Gestion, droit, management</v>
      </c>
      <c r="B614" t="str">
        <v>Concevoir et mettre en oeuvre un processus de motivation et d'engagement des collaborateurs sur un but commun</v>
      </c>
      <c r="C614" t="str">
        <v>Mogador-CF</v>
      </c>
      <c r="D614" t="str">
        <f>HYPERLINK("https://inventaire.cncp.gouv.fr/fiches/2357/","2357")</f>
        <v>2357</v>
      </c>
      <c r="E614" t="str">
        <f>HYPERLINK("http://www.intercariforef.org/formations/certification-98363.html","98363")</f>
        <v>98363</v>
      </c>
      <c r="F614" s="1">
        <v>43027</v>
      </c>
      <c r="G614" s="1">
        <v>43027</v>
      </c>
    </row>
    <row r="615">
      <c r="A615" t="str">
        <v>Gestion, droit, management</v>
      </c>
      <c r="B615" t="str">
        <v>Concevoir une activité entrepreneuriale sur internet</v>
      </c>
      <c r="C615" t="str">
        <v>LiveMentor</v>
      </c>
      <c r="D615" t="str">
        <f>HYPERLINK("https://inventaire.cncp.gouv.fr/fiches/3496/","3496")</f>
        <v>3496</v>
      </c>
      <c r="E615" t="str">
        <f>HYPERLINK("http://www.intercariforef.org/formations/certification-100651.html","100651")</f>
        <v>100651</v>
      </c>
      <c r="F615" s="1">
        <v>43194</v>
      </c>
      <c r="G615" s="1">
        <v>43194</v>
      </c>
    </row>
    <row r="616">
      <c r="A616" t="str">
        <v>Gestion, droit, management</v>
      </c>
      <c r="B616" t="str">
        <v>Conduire le processus d'innovation de l'entreprise</v>
      </c>
      <c r="C616" t="str">
        <v>InnovENT-E</v>
      </c>
      <c r="D616" t="str">
        <f>HYPERLINK("https://inventaire.cncp.gouv.fr/fiches/2514/","2514")</f>
        <v>2514</v>
      </c>
      <c r="E616" t="str">
        <f>HYPERLINK("http://www.intercariforef.org/formations/certification-94763.html","94763")</f>
        <v>94763</v>
      </c>
      <c r="F616" s="1">
        <v>42832</v>
      </c>
      <c r="G616" s="1">
        <v>42832</v>
      </c>
    </row>
    <row r="617">
      <c r="A617" t="str">
        <v>Gestion, droit, management</v>
      </c>
      <c r="B617" t="str">
        <v>Conduire un projet : complexité élevée et/ou un portefeuille de projets</v>
      </c>
      <c r="C617" t="str">
        <v>Ecole polytechnique</v>
      </c>
      <c r="D617" t="str">
        <f>HYPERLINK("https://inventaire.cncp.gouv.fr/fiches/1057/","1057")</f>
        <v>1057</v>
      </c>
      <c r="E617" t="str">
        <f>HYPERLINK("http://www.intercariforef.org/formations/certification-86227.html","86227")</f>
        <v>86227</v>
      </c>
      <c r="F617" s="1">
        <v>42324</v>
      </c>
      <c r="G617" s="1">
        <v>42324</v>
      </c>
    </row>
    <row r="618">
      <c r="A618" t="str">
        <v>Gestion, droit, management</v>
      </c>
      <c r="B618" t="str">
        <v>Conduire un projet : complexité moyenne</v>
      </c>
      <c r="C618" t="str">
        <v>Ecole polytechnique</v>
      </c>
      <c r="D618" t="str">
        <f>HYPERLINK("https://inventaire.cncp.gouv.fr/fiches/1053/","1053")</f>
        <v>1053</v>
      </c>
      <c r="E618" t="str">
        <f>HYPERLINK("http://www.intercariforef.org/formations/certification-86226.html","86226")</f>
        <v>86226</v>
      </c>
      <c r="F618" s="1">
        <v>42324</v>
      </c>
      <c r="G618" s="1">
        <v>42324</v>
      </c>
    </row>
    <row r="619">
      <c r="A619" t="str">
        <v>Gestion, droit, management</v>
      </c>
      <c r="B619" t="str">
        <v>Conduite du changement en équipe</v>
      </c>
      <c r="C619" t="str">
        <v>Valeat Formation</v>
      </c>
      <c r="D619" t="str">
        <f>HYPERLINK("https://inventaire.cncp.gouv.fr/fiches/2104/","2104")</f>
        <v>2104</v>
      </c>
      <c r="E619" t="str">
        <f>HYPERLINK("http://www.intercariforef.org/formations/certification-94855.html","94855")</f>
        <v>94855</v>
      </c>
      <c r="F619" s="1">
        <v>42836</v>
      </c>
      <c r="G619" s="1">
        <v>43046</v>
      </c>
    </row>
    <row r="620">
      <c r="A620" t="str">
        <v>Gestion, droit, management</v>
      </c>
      <c r="B620" t="str">
        <v>Conseil en organisation et management d'entreprise</v>
      </c>
      <c r="C620" t="str">
        <v>Cegos</v>
      </c>
      <c r="D620" t="str">
        <f>HYPERLINK("https://inventaire.cncp.gouv.fr/fiches/3426/","3426")</f>
        <v>3426</v>
      </c>
      <c r="E620" t="str">
        <f>HYPERLINK("http://www.intercariforef.org/formations/certification-101177.html","101177")</f>
        <v>101177</v>
      </c>
      <c r="F620" s="1">
        <v>43250</v>
      </c>
      <c r="G620" s="1">
        <v>43250</v>
      </c>
    </row>
    <row r="621">
      <c r="A621" t="str">
        <v>Gestion, droit, management</v>
      </c>
      <c r="B621" t="str">
        <v>Construire et conduire un projet entrepreneurial</v>
      </c>
      <c r="C621" t="str">
        <v>BGE Réseau</v>
      </c>
      <c r="D621" t="str">
        <f>HYPERLINK("https://inventaire.cncp.gouv.fr/fiches/2315/","2315")</f>
        <v>2315</v>
      </c>
      <c r="E621" t="str">
        <f>HYPERLINK("http://www.intercariforef.org/formations/certification-93941.html","93941")</f>
        <v>93941</v>
      </c>
      <c r="F621" s="1">
        <v>42744</v>
      </c>
      <c r="G621" s="1">
        <v>42744</v>
      </c>
    </row>
    <row r="622">
      <c r="A622" t="str">
        <v>Gestion, droit, management</v>
      </c>
      <c r="B622" t="str">
        <v>Contentieux de la Sécurité sociale (DU)</v>
      </c>
      <c r="C622" t="str">
        <v>Université Panthéon Sorbonne - Paris 1</v>
      </c>
      <c r="D622" t="str">
        <f>HYPERLINK("https://inventaire.cncp.gouv.fr/fiches/3486/","3486")</f>
        <v>3486</v>
      </c>
      <c r="E622" t="str">
        <f>HYPERLINK("http://www.intercariforef.org/formations/certification-100823.html","100823")</f>
        <v>100823</v>
      </c>
      <c r="F622" s="1">
        <v>43209</v>
      </c>
      <c r="G622" s="1">
        <v>43209</v>
      </c>
    </row>
    <row r="623">
      <c r="A623" t="str">
        <v>Gestion, droit, management</v>
      </c>
      <c r="B623" t="str">
        <v>Contrôle de gestion - CP FFP</v>
      </c>
      <c r="C623" t="str">
        <v>Édition formation entreprise (EFE)</v>
      </c>
      <c r="D623" t="str">
        <f>HYPERLINK("https://inventaire.cncp.gouv.fr/fiches/1169/","1169")</f>
        <v>1169</v>
      </c>
      <c r="E623" t="str">
        <f>HYPERLINK("http://www.intercariforef.org/formations/certification-86386.html","86386")</f>
        <v>86386</v>
      </c>
      <c r="F623" s="1">
        <v>42340</v>
      </c>
      <c r="G623" s="1">
        <v>43392</v>
      </c>
    </row>
    <row r="624">
      <c r="A624" t="str">
        <v>Gestion, droit, management</v>
      </c>
      <c r="B624" t="str">
        <v>Contrôle et suivi des opérations de trésorerie</v>
      </c>
      <c r="C624" t="str">
        <v>Association française des trésoriers d'entreprise</v>
      </c>
      <c r="D624" t="str">
        <f>HYPERLINK("https://inventaire.cncp.gouv.fr/fiches/2535/","2535")</f>
        <v>2535</v>
      </c>
      <c r="E624" t="str">
        <f>HYPERLINK("http://www.intercariforef.org/formations/certification-94829.html","94829")</f>
        <v>94829</v>
      </c>
      <c r="F624" s="1">
        <v>42836</v>
      </c>
      <c r="G624" s="1">
        <v>42836</v>
      </c>
    </row>
    <row r="625">
      <c r="A625" t="str">
        <v>Gestion, droit, management</v>
      </c>
      <c r="B625" t="str">
        <v>Coordonner et piloter un projet d'ingénierie (PMO)</v>
      </c>
      <c r="C625" t="str">
        <v>FITEC</v>
      </c>
      <c r="D625" t="str">
        <f>HYPERLINK("https://inventaire.cncp.gouv.fr/fiches/3197/","3197")</f>
        <v>3197</v>
      </c>
      <c r="E625" t="str">
        <f>HYPERLINK("http://www.intercariforef.org/formations/certification-100181.html","100181")</f>
        <v>100181</v>
      </c>
      <c r="F625" s="1">
        <v>43154</v>
      </c>
      <c r="G625" s="1">
        <v>43154</v>
      </c>
    </row>
    <row r="626">
      <c r="A626" t="str">
        <v>Gestion, droit, management</v>
      </c>
      <c r="B626" t="str">
        <v>CP FFP contrôle de gestion</v>
      </c>
      <c r="C626" t="str">
        <v>Cegos</v>
      </c>
      <c r="D626" t="str">
        <f>HYPERLINK("https://inventaire.cncp.gouv.fr/fiches/868/","868")</f>
        <v>868</v>
      </c>
      <c r="E626" t="str">
        <f>HYPERLINK("http://www.intercariforef.org/formations/certification-86399.html","86399")</f>
        <v>86399</v>
      </c>
      <c r="F626" s="1">
        <v>42340</v>
      </c>
      <c r="G626" s="1">
        <v>42340</v>
      </c>
    </row>
    <row r="627">
      <c r="A627" t="str">
        <v>Gestion, droit, management</v>
      </c>
      <c r="B627" t="str">
        <v>CP FFP piloter un projet</v>
      </c>
      <c r="C627" t="str">
        <v>Cegos</v>
      </c>
      <c r="D627" t="str">
        <f>HYPERLINK("https://inventaire.cncp.gouv.fr/fiches/315/","315")</f>
        <v>315</v>
      </c>
      <c r="E627" t="str">
        <f>HYPERLINK("http://www.intercariforef.org/formations/certification-84720.html","84720")</f>
        <v>84720</v>
      </c>
      <c r="F627" s="1">
        <v>42156</v>
      </c>
      <c r="G627" s="1">
        <v>42156</v>
      </c>
    </row>
    <row r="628">
      <c r="A628" t="str">
        <v>Gestion, droit, management</v>
      </c>
      <c r="B628" t="str">
        <v>Créer et développer une activité d'indépendant</v>
      </c>
      <c r="C628" t="str">
        <v>Trajectoires Missioneo</v>
      </c>
      <c r="D628" t="str">
        <f>HYPERLINK("https://inventaire.cncp.gouv.fr/fiches/2913/","2913")</f>
        <v>2913</v>
      </c>
      <c r="E628" t="str">
        <f>HYPERLINK("http://www.intercariforef.org/formations/certification-96549.html","96549")</f>
        <v>96549</v>
      </c>
      <c r="F628" s="1">
        <v>42928</v>
      </c>
      <c r="G628" s="1">
        <v>42928</v>
      </c>
    </row>
    <row r="629">
      <c r="A629" t="str">
        <v>Gestion, droit, management</v>
      </c>
      <c r="B629" t="str">
        <v>Créer une startup technologique innovante (HEC Challenge+)</v>
      </c>
      <c r="C629" t="str">
        <v>HEC Paris</v>
      </c>
      <c r="D629" t="str">
        <f>HYPERLINK("https://inventaire.cncp.gouv.fr/fiches/3008/","3008")</f>
        <v>3008</v>
      </c>
      <c r="E629" t="str">
        <f>HYPERLINK("http://www.intercariforef.org/formations/certification-96501.html","96501")</f>
        <v>96501</v>
      </c>
      <c r="F629" s="1">
        <v>42928</v>
      </c>
      <c r="G629" s="1">
        <v>42928</v>
      </c>
    </row>
    <row r="630">
      <c r="A630" t="str">
        <v>Gestion, droit, management</v>
      </c>
      <c r="B630" t="str">
        <v>Créer, piloter et animer un Living Lab</v>
      </c>
      <c r="C630" t="str">
        <v>Institut catholique de Lille</v>
      </c>
      <c r="D630" t="str">
        <f>HYPERLINK("https://inventaire.cncp.gouv.fr/fiches/3532/","3532")</f>
        <v>3532</v>
      </c>
      <c r="E630" t="str">
        <f>HYPERLINK("http://www.intercariforef.org/formations/certification-102631.html","102631")</f>
        <v>102631</v>
      </c>
      <c r="F630" s="1">
        <v>43299</v>
      </c>
      <c r="G630" s="1">
        <v>43299</v>
      </c>
    </row>
    <row r="631">
      <c r="A631" t="str">
        <v>Gestion, droit, management</v>
      </c>
      <c r="B631" t="str">
        <v>Créez la cohésion de vos équipes</v>
      </c>
      <c r="C631" t="str">
        <v>MJ Conseil en RH</v>
      </c>
      <c r="D631" t="str">
        <f>HYPERLINK("https://inventaire.cncp.gouv.fr/fiches/2172/","2172")</f>
        <v>2172</v>
      </c>
      <c r="E631" t="str">
        <f>HYPERLINK("http://www.intercariforef.org/formations/certification-94851.html","94851")</f>
        <v>94851</v>
      </c>
      <c r="F631" s="1">
        <v>42836</v>
      </c>
      <c r="G631" s="1">
        <v>42836</v>
      </c>
    </row>
    <row r="632" ht="26.2" customHeight="1">
      <c r="A632" t="str">
        <v>Gestion, droit, management</v>
      </c>
      <c r="B632" t="str">
        <v>De l'expérience à l'excellence client : Accompagner et animer les projets au sein d'une organisation</v>
      </c>
      <c r="C632" t="str">
        <v>Académie du Service</v>
      </c>
      <c r="D632" t="str">
        <f>HYPERLINK("https://inventaire.cncp.gouv.fr/fiches/3401/","3401")</f>
        <v>3401</v>
      </c>
      <c r="E632" t="str">
        <f>HYPERLINK("http://www.intercariforef.org/formations/certification-100169.html","100169")</f>
        <v>100169</v>
      </c>
      <c r="F632" s="1">
        <v>43154</v>
      </c>
      <c r="G632" s="1">
        <v>43154</v>
      </c>
    </row>
    <row r="633">
      <c r="A633" t="str">
        <v>Gestion, droit, management</v>
      </c>
      <c r="B633" t="str">
        <v>De l'expérience à l'excellence client : Manager et accompagner son équipe</v>
      </c>
      <c r="C633" t="str">
        <v>Académie du Service</v>
      </c>
      <c r="D633" t="str">
        <f>HYPERLINK("https://inventaire.cncp.gouv.fr/fiches/3858/","3858")</f>
        <v>3858</v>
      </c>
      <c r="E633" t="str">
        <f>HYPERLINK("http://www.intercariforef.org/formations/certification-104137.html","104137")</f>
        <v>104137</v>
      </c>
      <c r="F633" s="1">
        <v>43398</v>
      </c>
      <c r="G633" s="1">
        <v>43398</v>
      </c>
    </row>
    <row r="634">
      <c r="A634" t="str">
        <v>Gestion, droit, management</v>
      </c>
      <c r="B634" t="str">
        <v>Déploiement d'activités nouvelles</v>
      </c>
      <c r="C634" t="str">
        <v>Nouvelle Ressource (Campus Audace)</v>
      </c>
      <c r="D634" t="str">
        <f>HYPERLINK("https://inventaire.cncp.gouv.fr/fiches/3398/","3398")</f>
        <v>3398</v>
      </c>
      <c r="E634" t="str">
        <f>HYPERLINK("http://www.intercariforef.org/formations/certification-100013.html","100013")</f>
        <v>100013</v>
      </c>
      <c r="F634" s="1">
        <v>43151</v>
      </c>
      <c r="G634" s="1">
        <v>43151</v>
      </c>
    </row>
    <row r="635">
      <c r="A635" t="str">
        <v>Gestion, droit, management</v>
      </c>
      <c r="B635" t="str">
        <v>Design Thinking</v>
      </c>
      <c r="C635" t="str">
        <v>Unow</v>
      </c>
      <c r="D635" t="str">
        <f>HYPERLINK("https://inventaire.cncp.gouv.fr/fiches/3626/","3626")</f>
        <v>3626</v>
      </c>
      <c r="E635" t="str">
        <f>HYPERLINK("http://www.intercariforef.org/formations/certification-101153.html","101153")</f>
        <v>101153</v>
      </c>
      <c r="F635" s="1">
        <v>43250</v>
      </c>
      <c r="G635" s="1">
        <v>43353</v>
      </c>
    </row>
    <row r="636">
      <c r="A636" t="str">
        <v>Gestion, droit, management</v>
      </c>
      <c r="B636" t="str">
        <v>Développement économique par l'innovation, créateur et capteur de valeur</v>
      </c>
      <c r="C636" t="str">
        <v>Centre européen d'éducation permanente</v>
      </c>
      <c r="D636" t="str">
        <f>HYPERLINK("https://inventaire.cncp.gouv.fr/fiches/2411/","2411")</f>
        <v>2411</v>
      </c>
      <c r="E636" t="str">
        <f>HYPERLINK("http://www.intercariforef.org/formations/certification-94875.html","94875")</f>
        <v>94875</v>
      </c>
      <c r="F636" s="1">
        <v>42836</v>
      </c>
      <c r="G636" s="1">
        <v>42836</v>
      </c>
    </row>
    <row r="637">
      <c r="A637" t="str">
        <v>Gestion, droit, management</v>
      </c>
      <c r="B637" t="str">
        <v>Développer la performance par le management motivationnel</v>
      </c>
      <c r="C637" t="str">
        <v>CRECI Management</v>
      </c>
      <c r="D637" t="str">
        <f>HYPERLINK("https://inventaire.cncp.gouv.fr/fiches/3638/","3638")</f>
        <v>3638</v>
      </c>
      <c r="E637" t="str">
        <f>HYPERLINK("http://www.intercariforef.org/formations/certification-103999.html","103999")</f>
        <v>103999</v>
      </c>
      <c r="F637" s="1">
        <v>43392</v>
      </c>
      <c r="G637" s="1">
        <v>43392</v>
      </c>
    </row>
    <row r="638">
      <c r="A638" t="str">
        <v>Gestion, droit, management</v>
      </c>
      <c r="B638" t="str">
        <v>Développer l'agilité relationnelle</v>
      </c>
      <c r="C638" t="str">
        <v>IDAE Consulting</v>
      </c>
      <c r="D638" t="str">
        <f>HYPERLINK("https://inventaire.cncp.gouv.fr/fiches/3843/","3843")</f>
        <v>3843</v>
      </c>
      <c r="E638" t="str">
        <f>HYPERLINK("http://www.intercariforef.org/formations/certification-104073.html","104073")</f>
        <v>104073</v>
      </c>
      <c r="F638" s="1">
        <v>43396</v>
      </c>
      <c r="G638" s="1">
        <v>43396</v>
      </c>
    </row>
    <row r="639">
      <c r="A639" t="str">
        <v>Gestion, droit, management</v>
      </c>
      <c r="B639" t="str">
        <v>Développer ses capacités managériales</v>
      </c>
      <c r="C639" t="str">
        <v>M2I Formation</v>
      </c>
      <c r="D639" t="str">
        <f>HYPERLINK("https://inventaire.cncp.gouv.fr/fiches/3296/","3296")</f>
        <v>3296</v>
      </c>
      <c r="E639" t="str">
        <f>HYPERLINK("http://www.intercariforef.org/formations/certification-100087.html","100087")</f>
        <v>100087</v>
      </c>
      <c r="F639" s="1">
        <v>43152</v>
      </c>
      <c r="G639" s="1">
        <v>43152</v>
      </c>
    </row>
    <row r="640">
      <c r="A640" t="str">
        <v>Gestion, droit, management</v>
      </c>
      <c r="B640" t="str">
        <v>Développer ses compétences pour manager des manageurs</v>
      </c>
      <c r="C640" t="str">
        <v>Altitude formation et conseil</v>
      </c>
      <c r="D640" t="str">
        <f>HYPERLINK("https://inventaire.cncp.gouv.fr/fiches/732/","732")</f>
        <v>732</v>
      </c>
      <c r="E640" t="str">
        <f>HYPERLINK("http://www.intercariforef.org/formations/certification-88639.html","88639")</f>
        <v>88639</v>
      </c>
      <c r="F640" s="1">
        <v>42486</v>
      </c>
      <c r="G640" s="1">
        <v>42718</v>
      </c>
    </row>
    <row r="641">
      <c r="A641" t="str">
        <v>Gestion, droit, management</v>
      </c>
      <c r="B641" t="str">
        <v>Développer son leadership par la communication interpersonnelle</v>
      </c>
      <c r="C641" t="str">
        <v>All positive</v>
      </c>
      <c r="D641" t="str">
        <f>HYPERLINK("https://inventaire.cncp.gouv.fr/fiches/3897/","3897")</f>
        <v>3897</v>
      </c>
      <c r="E641" t="str">
        <f>HYPERLINK("http://www.intercariforef.org/formations/certification-104125.html","104125")</f>
        <v>104125</v>
      </c>
      <c r="F641" s="1">
        <v>43398</v>
      </c>
      <c r="G641" s="1">
        <v>43398</v>
      </c>
    </row>
    <row r="642">
      <c r="A642" t="str">
        <v>Gestion, droit, management</v>
      </c>
      <c r="B642" t="str">
        <v>Développer son réseau d'affaires en consulting</v>
      </c>
      <c r="C642" t="str">
        <v>Dtalents</v>
      </c>
      <c r="D642" t="str">
        <f>HYPERLINK("https://inventaire.cncp.gouv.fr/fiches/3487/","3487")</f>
        <v>3487</v>
      </c>
      <c r="E642" t="str">
        <f>HYPERLINK("http://www.intercariforef.org/formations/certification-102639.html","102639")</f>
        <v>102639</v>
      </c>
      <c r="F642" s="1">
        <v>43299</v>
      </c>
      <c r="G642" s="1">
        <v>43299</v>
      </c>
    </row>
    <row r="643">
      <c r="A643" t="str">
        <v>Gestion, droit, management</v>
      </c>
      <c r="B643" t="str">
        <v>Développer un projet artistique dans le spectacle vivant</v>
      </c>
      <c r="C643" t="str">
        <v>Harmoniques</v>
      </c>
      <c r="D643" t="str">
        <f>HYPERLINK("https://inventaire.cncp.gouv.fr/fiches/2975/","2975")</f>
        <v>2975</v>
      </c>
      <c r="E643" t="str">
        <f>HYPERLINK("http://www.intercariforef.org/formations/certification-96509.html","96509")</f>
        <v>96509</v>
      </c>
      <c r="F643" s="1">
        <v>42928</v>
      </c>
      <c r="G643" s="1">
        <v>42928</v>
      </c>
    </row>
    <row r="644">
      <c r="A644" t="str">
        <v>Gestion, droit, management</v>
      </c>
      <c r="B644" t="str">
        <v>Développer un projet entrepreneurial réussi</v>
      </c>
      <c r="C644" t="str">
        <v>CCI France - Assemblée des chambres françaises de commerce et d'industrie</v>
      </c>
      <c r="D644" t="str">
        <f>HYPERLINK("https://inventaire.cncp.gouv.fr/fiches/2757/","2757")</f>
        <v>2757</v>
      </c>
      <c r="E644" t="str">
        <f>HYPERLINK("http://www.intercariforef.org/formations/certification-94809.html","94809")</f>
        <v>94809</v>
      </c>
      <c r="F644" s="1">
        <v>42836</v>
      </c>
      <c r="G644" s="1">
        <v>42979</v>
      </c>
    </row>
    <row r="645" ht="26.2" customHeight="1">
      <c r="A645" t="str">
        <v>Gestion, droit, management</v>
      </c>
      <c r="B645" t="str">
        <v>Diplôme d'études internationales de la propriété industrielle option brevets d'invention</v>
      </c>
      <c r="C645" t="str">
        <v>Ministère de l'économie et des finances, Centre d'études internationales de la propriété intellectuelle (CEIPI) / Université de Strasbourg</v>
      </c>
      <c r="D645" t="str">
        <f>HYPERLINK("https://inventaire.cncp.gouv.fr/fiches/1255/","1255")</f>
        <v>1255</v>
      </c>
      <c r="E645" t="str">
        <f>HYPERLINK("http://www.intercariforef.org/formations/certification-85523.html","85523")</f>
        <v>85523</v>
      </c>
      <c r="F645" s="1">
        <v>42269</v>
      </c>
      <c r="G645" s="1">
        <v>43129</v>
      </c>
    </row>
    <row r="646" ht="26.2" customHeight="1">
      <c r="A646" t="str">
        <v>Gestion, droit, management</v>
      </c>
      <c r="B646" t="str">
        <v>Diplôme d'études internationales de la propriété industrielle option marques, dessins et modèles</v>
      </c>
      <c r="C646" t="str">
        <v>Ministère de l'économie et des finances, Centre d'études internationales de la propriété intellectuelle (CEIPI) / Université de Strasbourg</v>
      </c>
      <c r="D646" t="str">
        <f>HYPERLINK("https://inventaire.cncp.gouv.fr/fiches/1240/","1240")</f>
        <v>1240</v>
      </c>
      <c r="E646" t="str">
        <f>HYPERLINK("http://www.intercariforef.org/formations/certification-85529.html","85529")</f>
        <v>85529</v>
      </c>
      <c r="F646" s="1">
        <v>42269</v>
      </c>
      <c r="G646" s="1">
        <v>43129</v>
      </c>
    </row>
    <row r="647">
      <c r="A647" t="str">
        <v>Gestion, droit, management</v>
      </c>
      <c r="B647" t="str">
        <v>Diplôme d'étudiant-entrepreneur (D2E)</v>
      </c>
      <c r="C647" t="str">
        <v>Pépite Ozer Grenoble</v>
      </c>
      <c r="D647" t="str">
        <f>HYPERLINK("https://inventaire.cncp.gouv.fr/fiches/1889/","1889")</f>
        <v>1889</v>
      </c>
      <c r="E647" t="str">
        <f>HYPERLINK("http://www.intercariforef.org/formations/certification-94321.html","94321")</f>
        <v>94321</v>
      </c>
      <c r="F647" s="1">
        <v>42787</v>
      </c>
      <c r="G647" s="1">
        <v>42787</v>
      </c>
    </row>
    <row r="648">
      <c r="A648" t="str">
        <v>Gestion, droit, management</v>
      </c>
      <c r="B648" t="str">
        <v>Direction d'un centre de profit</v>
      </c>
      <c r="C648" t="str">
        <v>HEC Paris</v>
      </c>
      <c r="D648" t="str">
        <f>HYPERLINK("https://inventaire.cncp.gouv.fr/fiches/3043/","3043")</f>
        <v>3043</v>
      </c>
      <c r="E648" t="str">
        <f>HYPERLINK("http://www.intercariforef.org/formations/certification-96483.html","96483")</f>
        <v>96483</v>
      </c>
      <c r="F648" s="1">
        <v>42928</v>
      </c>
      <c r="G648" s="1">
        <v>42928</v>
      </c>
    </row>
    <row r="649">
      <c r="A649" t="str">
        <v>Gestion, droit, management</v>
      </c>
      <c r="B649" t="str">
        <v>Diriger et concevoir des stratégies innovantes de développement</v>
      </c>
      <c r="C649" t="str">
        <v>Convergence conseil RH</v>
      </c>
      <c r="D649" t="str">
        <f>HYPERLINK("https://inventaire.cncp.gouv.fr/fiches/2550/","2550")</f>
        <v>2550</v>
      </c>
      <c r="E649" t="str">
        <f>HYPERLINK("http://www.intercariforef.org/formations/certification-95241.html","95241")</f>
        <v>95241</v>
      </c>
      <c r="F649" s="1">
        <v>42851</v>
      </c>
      <c r="G649" s="1">
        <v>42851</v>
      </c>
    </row>
    <row r="650">
      <c r="A650" t="str">
        <v>Gestion, droit, management</v>
      </c>
      <c r="B650" t="str">
        <v>Droit des contrats</v>
      </c>
      <c r="C650" t="str">
        <v>Édition formation entreprise (EFE)</v>
      </c>
      <c r="D650" t="str">
        <f>HYPERLINK("https://inventaire.cncp.gouv.fr/fiches/2843/","2843")</f>
        <v>2843</v>
      </c>
      <c r="E650" t="str">
        <f>HYPERLINK("http://www.intercariforef.org/formations/certification-98591.html","98591")</f>
        <v>98591</v>
      </c>
      <c r="F650" s="1">
        <v>43038</v>
      </c>
      <c r="G650" s="1">
        <v>43392</v>
      </c>
    </row>
    <row r="651">
      <c r="A651" t="str">
        <v>Gestion, droit, management</v>
      </c>
      <c r="B651" t="str">
        <v>Droit des sociétés - CP FFP</v>
      </c>
      <c r="C651" t="str">
        <v>Édition formation entreprise (EFE)</v>
      </c>
      <c r="D651" t="str">
        <f>HYPERLINK("https://inventaire.cncp.gouv.fr/fiches/1162/","1162")</f>
        <v>1162</v>
      </c>
      <c r="E651" t="str">
        <f>HYPERLINK("http://www.intercariforef.org/formations/certification-86388.html","86388")</f>
        <v>86388</v>
      </c>
      <c r="F651" s="1">
        <v>42340</v>
      </c>
      <c r="G651" s="1">
        <v>43392</v>
      </c>
    </row>
    <row r="652">
      <c r="A652" t="str">
        <v>Gestion, droit, management</v>
      </c>
      <c r="B652" t="str">
        <v>Droits des contenus et médias numériques</v>
      </c>
      <c r="C652" t="str">
        <v>Institut national de l'audiovisuel (INA)</v>
      </c>
      <c r="D652" t="str">
        <f>HYPERLINK("https://inventaire.cncp.gouv.fr/fiches/1363/","1363")</f>
        <v>1363</v>
      </c>
      <c r="E652" t="str">
        <f>HYPERLINK("http://www.intercariforef.org/formations/certification-86476.html","86476")</f>
        <v>86476</v>
      </c>
      <c r="F652" s="1">
        <v>42342</v>
      </c>
      <c r="G652" s="1">
        <v>42342</v>
      </c>
    </row>
    <row r="653">
      <c r="A653" t="str">
        <v>Gestion, droit, management</v>
      </c>
      <c r="B653" t="str">
        <v>DU Business Management</v>
      </c>
      <c r="C653" t="str">
        <v>Université Paris-Dauphine</v>
      </c>
      <c r="D653" t="str">
        <f>HYPERLINK("https://inventaire.cncp.gouv.fr/fiches/3037/","3037")</f>
        <v>3037</v>
      </c>
      <c r="E653" t="str">
        <f>HYPERLINK("http://www.intercariforef.org/formations/certification-96489.html","96489")</f>
        <v>96489</v>
      </c>
      <c r="F653" s="1">
        <v>42928</v>
      </c>
      <c r="G653" s="1">
        <v>42928</v>
      </c>
    </row>
    <row r="654">
      <c r="A654" t="str">
        <v>Gestion, droit, management</v>
      </c>
      <c r="B654" t="str">
        <v>Élaboration du budget d'une TPE/PME</v>
      </c>
      <c r="C654" t="str">
        <v>Myard Consulteam - DAF Online</v>
      </c>
      <c r="D654" t="str">
        <f>HYPERLINK("https://inventaire.cncp.gouv.fr/fiches/2296/","2296")</f>
        <v>2296</v>
      </c>
      <c r="E654" t="str">
        <f>HYPERLINK("http://www.intercariforef.org/formations/certification-94867.html","94867")</f>
        <v>94867</v>
      </c>
      <c r="F654" s="1">
        <v>42836</v>
      </c>
      <c r="G654" s="1">
        <v>42836</v>
      </c>
    </row>
    <row r="655">
      <c r="A655" t="str">
        <v>Gestion, droit, management</v>
      </c>
      <c r="B655" t="str">
        <v>Émergence d'activités nouvelles</v>
      </c>
      <c r="C655" t="str">
        <v>Nouvelle Ressource (Campus Audace)</v>
      </c>
      <c r="D655" t="str">
        <f>HYPERLINK("https://inventaire.cncp.gouv.fr/fiches/3396/","3396")</f>
        <v>3396</v>
      </c>
      <c r="E655" t="str">
        <f>HYPERLINK("http://www.intercariforef.org/formations/certification-100017.html","100017")</f>
        <v>100017</v>
      </c>
      <c r="F655" s="1">
        <v>43151</v>
      </c>
      <c r="G655" s="1">
        <v>43151</v>
      </c>
    </row>
    <row r="656">
      <c r="A656" t="str">
        <v>Gestion, droit, management</v>
      </c>
      <c r="B656" t="str">
        <v>Encadrer et animer une équipe en proximité</v>
      </c>
      <c r="C656" t="str">
        <v>Convergence conseil RH</v>
      </c>
      <c r="D656" t="str">
        <f>HYPERLINK("https://inventaire.cncp.gouv.fr/fiches/2311/","2311")</f>
        <v>2311</v>
      </c>
      <c r="E656" t="str">
        <f>HYPERLINK("http://www.intercariforef.org/formations/certification-91893.html","91893")</f>
        <v>91893</v>
      </c>
      <c r="F656" s="1">
        <v>42662</v>
      </c>
      <c r="G656" s="1">
        <v>42718</v>
      </c>
    </row>
    <row r="657">
      <c r="A657" t="str">
        <v>Gestion, droit, management</v>
      </c>
      <c r="B657" t="str">
        <v>Entreprendre et gérer une production phonographique</v>
      </c>
      <c r="C657" t="str">
        <v>IRMA</v>
      </c>
      <c r="D657" t="str">
        <f>HYPERLINK("https://inventaire.cncp.gouv.fr/fiches/3636/","3636")</f>
        <v>3636</v>
      </c>
      <c r="E657" t="str">
        <f>HYPERLINK("http://www.intercariforef.org/formations/certification-104165.html","104165")</f>
        <v>104165</v>
      </c>
      <c r="F657" s="1">
        <v>43398</v>
      </c>
      <c r="G657" s="1">
        <v>43398</v>
      </c>
    </row>
    <row r="658">
      <c r="A658" t="str">
        <v>Gestion, droit, management</v>
      </c>
      <c r="B658" t="str">
        <v>Entrepreneuriat par l'innovation technologique</v>
      </c>
      <c r="C658" t="str">
        <v>Ecole polytechnique</v>
      </c>
      <c r="D658" t="str">
        <f>HYPERLINK("https://inventaire.cncp.gouv.fr/fiches/1225/","1225")</f>
        <v>1225</v>
      </c>
      <c r="E658" t="str">
        <f>HYPERLINK("http://www.intercariforef.org/formations/certification-86356.html","86356")</f>
        <v>86356</v>
      </c>
      <c r="F658" s="1">
        <v>42340</v>
      </c>
      <c r="G658" s="1">
        <v>42718</v>
      </c>
    </row>
    <row r="659">
      <c r="A659" t="str">
        <v>Gestion, droit, management</v>
      </c>
      <c r="B659" t="str">
        <v>Évaluateur ICA responsabilité sociétale des organisations</v>
      </c>
      <c r="C659" t="str">
        <v>AFNOR</v>
      </c>
      <c r="D659" t="str">
        <f>HYPERLINK("https://inventaire.cncp.gouv.fr/fiches/947/","947")</f>
        <v>947</v>
      </c>
      <c r="E659" t="str">
        <f>HYPERLINK("http://www.intercariforef.org/formations/certification-85067.html","85067")</f>
        <v>85067</v>
      </c>
      <c r="F659" s="1">
        <v>42185</v>
      </c>
      <c r="G659" s="1">
        <v>42185</v>
      </c>
    </row>
    <row r="660">
      <c r="A660" t="str">
        <v>Gestion, droit, management</v>
      </c>
      <c r="B660" t="str">
        <v>Facilitateur de l'intelligence collective</v>
      </c>
      <c r="C660" t="str">
        <v>Didascalis</v>
      </c>
      <c r="D660" t="str">
        <f>HYPERLINK("https://inventaire.cncp.gouv.fr/fiches/3748/","3748")</f>
        <v>3748</v>
      </c>
      <c r="E660" t="str">
        <f>HYPERLINK("http://www.intercariforef.org/formations/certification-102457.html","102457")</f>
        <v>102457</v>
      </c>
      <c r="F660" s="1">
        <v>43298</v>
      </c>
      <c r="G660" s="1">
        <v>43298</v>
      </c>
    </row>
    <row r="661">
      <c r="A661" t="str">
        <v>Gestion, droit, management</v>
      </c>
      <c r="B661" t="str">
        <v>Finance d'entreprise - CP FFP</v>
      </c>
      <c r="C661" t="str">
        <v>Édition formation entreprise (EFE)</v>
      </c>
      <c r="D661" t="str">
        <f>HYPERLINK("https://inventaire.cncp.gouv.fr/fiches/1165/","1165")</f>
        <v>1165</v>
      </c>
      <c r="E661" t="str">
        <f>HYPERLINK("http://www.intercariforef.org/formations/certification-86385.html","86385")</f>
        <v>86385</v>
      </c>
      <c r="F661" s="1">
        <v>42340</v>
      </c>
      <c r="G661" s="1">
        <v>43392</v>
      </c>
    </row>
    <row r="662">
      <c r="A662" t="str">
        <v>Gestion, droit, management</v>
      </c>
      <c r="B662" t="str">
        <v>Finance pour Dirigeant</v>
      </c>
      <c r="C662" t="str">
        <v>HEC Paris</v>
      </c>
      <c r="D662" t="str">
        <f>HYPERLINK("https://inventaire.cncp.gouv.fr/fiches/3044/","3044")</f>
        <v>3044</v>
      </c>
      <c r="E662" t="str">
        <f>HYPERLINK("http://www.intercariforef.org/formations/certification-96477.html","96477")</f>
        <v>96477</v>
      </c>
      <c r="F662" s="1">
        <v>42928</v>
      </c>
      <c r="G662" s="1">
        <v>42928</v>
      </c>
    </row>
    <row r="663">
      <c r="A663" t="str">
        <v>Gestion, droit, management</v>
      </c>
      <c r="B663" t="str">
        <v>Fondamentaux de la finance</v>
      </c>
      <c r="C663" t="str">
        <v>HEC Paris</v>
      </c>
      <c r="D663" t="str">
        <f>HYPERLINK("https://inventaire.cncp.gouv.fr/fiches/3042/","3042")</f>
        <v>3042</v>
      </c>
      <c r="E663" t="str">
        <f>HYPERLINK("http://www.intercariforef.org/formations/certification-96485.html","96485")</f>
        <v>96485</v>
      </c>
      <c r="F663" s="1">
        <v>42928</v>
      </c>
      <c r="G663" s="1">
        <v>42928</v>
      </c>
    </row>
    <row r="664">
      <c r="A664" t="str">
        <v>Gestion, droit, management</v>
      </c>
      <c r="B664" t="str">
        <v>Fondamentaux du management à l'ère numérique</v>
      </c>
      <c r="C664" t="str">
        <v>Unow</v>
      </c>
      <c r="D664" t="str">
        <f>HYPERLINK("https://inventaire.cncp.gouv.fr/fiches/3629/","3629")</f>
        <v>3629</v>
      </c>
      <c r="E664" t="str">
        <f>HYPERLINK("http://www.intercariforef.org/formations/certification-101237.html","101237")</f>
        <v>101237</v>
      </c>
      <c r="F664" s="1">
        <v>43255</v>
      </c>
      <c r="G664" s="1">
        <v>43255</v>
      </c>
    </row>
    <row r="665">
      <c r="A665" t="str">
        <v>Gestion, droit, management</v>
      </c>
      <c r="B665" t="str">
        <v>Générer des concepts et des solutions innovants</v>
      </c>
      <c r="C665" t="str">
        <v>InnovENT-E</v>
      </c>
      <c r="D665" t="str">
        <f>HYPERLINK("https://inventaire.cncp.gouv.fr/fiches/1481/","1481")</f>
        <v>1481</v>
      </c>
      <c r="E665" t="str">
        <f>HYPERLINK("http://www.intercariforef.org/formations/certification-87553.html","87553")</f>
        <v>87553</v>
      </c>
      <c r="F665" s="1">
        <v>42412</v>
      </c>
      <c r="G665" s="1">
        <v>42718</v>
      </c>
    </row>
    <row r="666">
      <c r="A666" t="str">
        <v>Gestion, droit, management</v>
      </c>
      <c r="B666" t="str">
        <v>Gérer et animer un centre de profit</v>
      </c>
      <c r="C666" t="str">
        <v>Man'Agir</v>
      </c>
      <c r="D666" t="str">
        <f>HYPERLINK("https://inventaire.cncp.gouv.fr/fiches/2086/","2086")</f>
        <v>2086</v>
      </c>
      <c r="E666" t="str">
        <f>HYPERLINK("http://www.intercariforef.org/formations/certification-89197.html","89197")</f>
        <v>89197</v>
      </c>
      <c r="F666" s="1">
        <v>42521</v>
      </c>
      <c r="G666" s="1">
        <v>42718</v>
      </c>
    </row>
    <row r="667">
      <c r="A667" t="str">
        <v>Gestion, droit, management</v>
      </c>
      <c r="B667" t="str">
        <v>Gérer et piloter un projet digital</v>
      </c>
      <c r="C667" t="str">
        <v>VISIPLUS academy</v>
      </c>
      <c r="D667" t="str">
        <f>HYPERLINK("https://inventaire.cncp.gouv.fr/fiches/3827/","3827")</f>
        <v>3827</v>
      </c>
      <c r="E667" t="str">
        <f>HYPERLINK("http://www.intercariforef.org/formations/certification-104149.html","104149")</f>
        <v>104149</v>
      </c>
      <c r="F667" s="1">
        <v>43398</v>
      </c>
      <c r="G667" s="1">
        <v>43398</v>
      </c>
    </row>
    <row r="668">
      <c r="A668" t="str">
        <v>Gestion, droit, management</v>
      </c>
      <c r="B668" t="str">
        <v>Gérer la paie et les déclarations sociales</v>
      </c>
      <c r="C668" t="str">
        <v>Gereso</v>
      </c>
      <c r="D668" t="str">
        <f>HYPERLINK("https://inventaire.cncp.gouv.fr/fiches/3279/","3279")</f>
        <v>3279</v>
      </c>
      <c r="E668" t="str">
        <f>HYPERLINK("http://www.intercariforef.org/formations/certification-100109.html","100109")</f>
        <v>100109</v>
      </c>
      <c r="F668" s="1">
        <v>43153</v>
      </c>
      <c r="G668" s="1">
        <v>43153</v>
      </c>
    </row>
    <row r="669">
      <c r="A669" t="str">
        <v>Gestion, droit, management</v>
      </c>
      <c r="B669" t="str">
        <v>Gérer les équipes avec agilité</v>
      </c>
      <c r="C669" t="str">
        <v>BiCom</v>
      </c>
      <c r="D669" t="str">
        <f>HYPERLINK("https://inventaire.cncp.gouv.fr/fiches/3252/","3252")</f>
        <v>3252</v>
      </c>
      <c r="E669" t="str">
        <f>HYPERLINK("http://www.intercariforef.org/formations/certification-100111.html","100111")</f>
        <v>100111</v>
      </c>
      <c r="F669" s="1">
        <v>43153</v>
      </c>
      <c r="G669" s="1">
        <v>43153</v>
      </c>
    </row>
    <row r="670">
      <c r="A670" t="str">
        <v>Gestion, droit, management</v>
      </c>
      <c r="B670" t="str">
        <v>Gestion de la paie et des charges sociales - CP FFP</v>
      </c>
      <c r="C670" t="str">
        <v>Édition formation entreprise (EFE)</v>
      </c>
      <c r="D670" t="str">
        <f>HYPERLINK("https://inventaire.cncp.gouv.fr/fiches/1171/","1171")</f>
        <v>1171</v>
      </c>
      <c r="E670" t="str">
        <f>HYPERLINK("http://www.intercariforef.org/formations/certification-86357.html","86357")</f>
        <v>86357</v>
      </c>
      <c r="F670" s="1">
        <v>42340</v>
      </c>
      <c r="G670" s="1">
        <v>43392</v>
      </c>
    </row>
    <row r="671">
      <c r="A671" t="str">
        <v>Gestion, droit, management</v>
      </c>
      <c r="B671" t="str">
        <v>Gestion de l'agressivité et des troubles du comportement</v>
      </c>
      <c r="C671" t="str">
        <v>Groupe 9 Academy</v>
      </c>
      <c r="D671" t="str">
        <f>HYPERLINK("https://inventaire.cncp.gouv.fr/fiches/1919/","1919")</f>
        <v>1919</v>
      </c>
      <c r="E671" t="str">
        <f>HYPERLINK("http://www.intercariforef.org/formations/certification-89381.html","89381")</f>
        <v>89381</v>
      </c>
      <c r="F671" s="1">
        <v>42527</v>
      </c>
      <c r="G671" s="1">
        <v>42718</v>
      </c>
    </row>
    <row r="672">
      <c r="A672" t="str">
        <v>Gestion, droit, management</v>
      </c>
      <c r="B672" t="str">
        <v>Gestion de projet</v>
      </c>
      <c r="C672" t="str">
        <v>Unow</v>
      </c>
      <c r="D672" t="str">
        <f>HYPERLINK("https://inventaire.cncp.gouv.fr/fiches/3681/","3681")</f>
        <v>3681</v>
      </c>
      <c r="E672" t="str">
        <f>HYPERLINK("http://www.intercariforef.org/formations/certification-103991.html","103991")</f>
        <v>103991</v>
      </c>
      <c r="F672" s="1">
        <v>43391</v>
      </c>
      <c r="G672" s="1">
        <v>43391</v>
      </c>
    </row>
    <row r="673">
      <c r="A673" t="str">
        <v>Gestion, droit, management</v>
      </c>
      <c r="B673" t="str">
        <v>Gestion de projet</v>
      </c>
      <c r="C673" t="str">
        <v>Édition formation entreprise (EFE)</v>
      </c>
      <c r="D673" t="str">
        <f>HYPERLINK("https://inventaire.cncp.gouv.fr/fiches/1167/","1167")</f>
        <v>1167</v>
      </c>
      <c r="E673" t="str">
        <f>HYPERLINK("http://www.intercariforef.org/formations/certification-86213.html","86213")</f>
        <v>86213</v>
      </c>
      <c r="F673" s="1">
        <v>42320</v>
      </c>
      <c r="G673" s="1">
        <v>43392</v>
      </c>
    </row>
    <row r="674">
      <c r="A674" t="str">
        <v>Gestion, droit, management</v>
      </c>
      <c r="B674" t="str">
        <v>Gestion de projet</v>
      </c>
      <c r="C674" t="str">
        <v>Centre européen des examens de la fédération européenne des écoles</v>
      </c>
      <c r="D674" t="str">
        <f>HYPERLINK("https://inventaire.cncp.gouv.fr/fiches/3419/","3419")</f>
        <v>3419</v>
      </c>
      <c r="E674" t="str">
        <f>HYPERLINK("http://www.intercariforef.org/formations/certification-100629.html","100629")</f>
        <v>100629</v>
      </c>
      <c r="F674" s="1">
        <v>43193</v>
      </c>
      <c r="G674" s="1">
        <v>43193</v>
      </c>
    </row>
    <row r="675">
      <c r="A675" t="str">
        <v>Gestion, droit, management</v>
      </c>
      <c r="B675" t="str">
        <v>Gestion de projet agile avec Scrum</v>
      </c>
      <c r="C675" t="str">
        <v>Unow</v>
      </c>
      <c r="D675" t="str">
        <f>HYPERLINK("https://inventaire.cncp.gouv.fr/fiches/3680/","3680")</f>
        <v>3680</v>
      </c>
      <c r="E675" t="str">
        <f>HYPERLINK("http://www.intercariforef.org/formations/certification-103989.html","103989")</f>
        <v>103989</v>
      </c>
      <c r="F675" s="1">
        <v>43391</v>
      </c>
      <c r="G675" s="1">
        <v>43391</v>
      </c>
    </row>
    <row r="676">
      <c r="A676" t="str">
        <v>Gestion, droit, management</v>
      </c>
      <c r="B676" t="str">
        <v>Gestion de projet client dans le domaine numérique</v>
      </c>
      <c r="C676" t="str">
        <v>Télécom ParisTech</v>
      </c>
      <c r="D676" t="str">
        <f>HYPERLINK("https://inventaire.cncp.gouv.fr/fiches/2208/","2208")</f>
        <v>2208</v>
      </c>
      <c r="E676" t="str">
        <f>HYPERLINK("http://www.intercariforef.org/formations/certification-90003.html","90003")</f>
        <v>90003</v>
      </c>
      <c r="F676" s="1">
        <v>42557</v>
      </c>
      <c r="G676" s="1">
        <v>42718</v>
      </c>
    </row>
    <row r="677">
      <c r="A677" t="str">
        <v>Gestion, droit, management</v>
      </c>
      <c r="B677" t="str">
        <v>Gestion des financements et placements</v>
      </c>
      <c r="C677" t="str">
        <v>Association française des trésoriers d'entreprise</v>
      </c>
      <c r="D677" t="str">
        <f>HYPERLINK("https://inventaire.cncp.gouv.fr/fiches/2534/","2534")</f>
        <v>2534</v>
      </c>
      <c r="E677" t="str">
        <f>HYPERLINK("http://www.intercariforef.org/formations/certification-94831.html","94831")</f>
        <v>94831</v>
      </c>
      <c r="F677" s="1">
        <v>42836</v>
      </c>
      <c r="G677" s="1">
        <v>42836</v>
      </c>
    </row>
    <row r="678">
      <c r="A678" t="str">
        <v>Gestion, droit, management</v>
      </c>
      <c r="B678" t="str">
        <v>Gestion des risques de change et taux</v>
      </c>
      <c r="C678" t="str">
        <v>Association française des trésoriers d'entreprise</v>
      </c>
      <c r="D678" t="str">
        <f>HYPERLINK("https://inventaire.cncp.gouv.fr/fiches/2533/","2533")</f>
        <v>2533</v>
      </c>
      <c r="E678" t="str">
        <f>HYPERLINK("http://www.intercariforef.org/formations/certification-94835.html","94835")</f>
        <v>94835</v>
      </c>
      <c r="F678" s="1">
        <v>42836</v>
      </c>
      <c r="G678" s="1">
        <v>42836</v>
      </c>
    </row>
    <row r="679">
      <c r="A679" t="str">
        <v>Gestion, droit, management</v>
      </c>
      <c r="B679" t="str">
        <v>Gestion et management de projet en France et à l'international</v>
      </c>
      <c r="C679" t="str">
        <v>Altran Education Services</v>
      </c>
      <c r="D679" t="str">
        <f>HYPERLINK("https://inventaire.cncp.gouv.fr/fiches/3584/","3584")</f>
        <v>3584</v>
      </c>
      <c r="E679" t="str">
        <f>HYPERLINK("http://www.intercariforef.org/formations/certification-101161.html","101161")</f>
        <v>101161</v>
      </c>
      <c r="F679" s="1">
        <v>43250</v>
      </c>
      <c r="G679" s="1">
        <v>43250</v>
      </c>
    </row>
    <row r="680">
      <c r="A680" t="str">
        <v>Gestion, droit, management</v>
      </c>
      <c r="B680" t="str">
        <v>Gestion quotidienne et prévisionnelle de trésorerie</v>
      </c>
      <c r="C680" t="str">
        <v>Association française des trésoriers d'entreprise</v>
      </c>
      <c r="D680" t="str">
        <f>HYPERLINK("https://inventaire.cncp.gouv.fr/fiches/2513/","2513")</f>
        <v>2513</v>
      </c>
      <c r="E680" t="str">
        <f>HYPERLINK("http://www.intercariforef.org/formations/certification-94839.html","94839")</f>
        <v>94839</v>
      </c>
      <c r="F680" s="1">
        <v>42836</v>
      </c>
      <c r="G680" s="1">
        <v>42836</v>
      </c>
    </row>
    <row r="681">
      <c r="A681" t="str">
        <v>Gestion, droit, management</v>
      </c>
      <c r="B681" t="str">
        <v>Gestionnaire de paie en cabinet d'expertise comptable</v>
      </c>
      <c r="C681" t="str">
        <v>Pay Job</v>
      </c>
      <c r="D681" t="str">
        <f>HYPERLINK("https://inventaire.cncp.gouv.fr/fiches/2849/","2849")</f>
        <v>2849</v>
      </c>
      <c r="E681" t="str">
        <f>HYPERLINK("http://www.intercariforef.org/formations/certification-96875.html","96875")</f>
        <v>96875</v>
      </c>
      <c r="F681" s="1">
        <v>42937</v>
      </c>
      <c r="G681" s="1">
        <v>42937</v>
      </c>
    </row>
    <row r="682" ht="26.2" customHeight="1">
      <c r="A682" t="str">
        <v>Gestion, droit, management</v>
      </c>
      <c r="B682" t="str">
        <v>Intégrer les bonnes pratiques de la responsabilité sociétale de l'entreprise dans la conduite du changement</v>
      </c>
      <c r="C682" t="str">
        <v>Ecole Nouvelle d'Organisation Economique et Sociale (ENOES ), Ecole de l'expertise comptable et de l'audit (groupe ENOES)</v>
      </c>
      <c r="D682" t="str">
        <f>HYPERLINK("https://inventaire.cncp.gouv.fr/fiches/4098/","4098")</f>
        <v>4098</v>
      </c>
      <c r="E682" t="str">
        <f>HYPERLINK("http://www.intercariforef.org/formations/certification-104085.html","104085")</f>
        <v>104085</v>
      </c>
      <c r="F682" s="1">
        <v>43397</v>
      </c>
      <c r="G682" s="1">
        <v>43397</v>
      </c>
    </row>
    <row r="683">
      <c r="A683" t="str">
        <v>Gestion, droit, management</v>
      </c>
      <c r="B683" t="str">
        <v>Je deviens Entrepreneur</v>
      </c>
      <c r="C683" t="str">
        <v>ADIE - Association pour le Droit à l'Initiative Economique</v>
      </c>
      <c r="D683" t="str">
        <f>HYPERLINK("https://inventaire.cncp.gouv.fr/fiches/3029/","3029")</f>
        <v>3029</v>
      </c>
      <c r="E683" t="str">
        <f>HYPERLINK("http://www.intercariforef.org/formations/certification-96491.html","96491")</f>
        <v>96491</v>
      </c>
      <c r="F683" s="1">
        <v>42928</v>
      </c>
      <c r="G683" s="1">
        <v>42928</v>
      </c>
    </row>
    <row r="684">
      <c r="A684" t="str">
        <v>Gestion, droit, management</v>
      </c>
      <c r="B684" t="str">
        <v>La Gestion de Projet</v>
      </c>
      <c r="C684" t="str">
        <v>DEMOS</v>
      </c>
      <c r="D684" t="str">
        <f>HYPERLINK("https://inventaire.cncp.gouv.fr/fiches/2775/","2775")</f>
        <v>2775</v>
      </c>
      <c r="E684" t="str">
        <f>HYPERLINK("http://www.intercariforef.org/formations/certification-95643.html","95643")</f>
        <v>95643</v>
      </c>
      <c r="F684" s="1">
        <v>42893</v>
      </c>
      <c r="G684" s="1">
        <v>42893</v>
      </c>
    </row>
    <row r="685">
      <c r="A685" t="str">
        <v>Gestion, droit, management</v>
      </c>
      <c r="B685" t="str">
        <v>La reprise d'entreprise - les outils pour réussir</v>
      </c>
      <c r="C685" t="str">
        <v>Association CRA - Cédants et repreneurs d'affaires</v>
      </c>
      <c r="D685" t="str">
        <f>HYPERLINK("https://inventaire.cncp.gouv.fr/fiches/1403/","1403")</f>
        <v>1403</v>
      </c>
      <c r="E685" t="str">
        <f>HYPERLINK("http://www.intercariforef.org/formations/certification-87637.html","87637")</f>
        <v>87637</v>
      </c>
      <c r="F685" s="1">
        <v>42415</v>
      </c>
      <c r="G685" s="1">
        <v>42718</v>
      </c>
    </row>
    <row r="686">
      <c r="A686" t="str">
        <v>Gestion, droit, management</v>
      </c>
      <c r="B686" t="str">
        <v>Lancement d'activités nouvelles</v>
      </c>
      <c r="C686" t="str">
        <v>Nouvelle Ressource (Campus Audace)</v>
      </c>
      <c r="D686" t="str">
        <f>HYPERLINK("https://inventaire.cncp.gouv.fr/fiches/3397/","3397")</f>
        <v>3397</v>
      </c>
      <c r="E686" t="str">
        <f>HYPERLINK("http://www.intercariforef.org/formations/certification-100015.html","100015")</f>
        <v>100015</v>
      </c>
      <c r="F686" s="1">
        <v>43151</v>
      </c>
      <c r="G686" s="1">
        <v>43151</v>
      </c>
    </row>
    <row r="687">
      <c r="A687" t="str">
        <v>Gestion, droit, management</v>
      </c>
      <c r="B687" t="str">
        <v>Le contrôle de gestion en entreprise</v>
      </c>
      <c r="C687" t="str">
        <v>DEMOS</v>
      </c>
      <c r="D687" t="str">
        <f>HYPERLINK("https://inventaire.cncp.gouv.fr/fiches/1760/","1760")</f>
        <v>1760</v>
      </c>
      <c r="E687" t="str">
        <f>HYPERLINK("http://www.intercariforef.org/formations/certification-90021.html","90021")</f>
        <v>90021</v>
      </c>
      <c r="F687" s="1">
        <v>42558</v>
      </c>
      <c r="G687" s="1">
        <v>42558</v>
      </c>
    </row>
    <row r="688">
      <c r="A688" t="str">
        <v>Gestion, droit, management</v>
      </c>
      <c r="B688" t="str">
        <v>Le développement de projet innovant (niveau 1)</v>
      </c>
      <c r="C688" t="str">
        <v>OpenClassrooms</v>
      </c>
      <c r="D688" t="str">
        <f>HYPERLINK("https://inventaire.cncp.gouv.fr/fiches/2856/","2856")</f>
        <v>2856</v>
      </c>
      <c r="E688" t="str">
        <f>HYPERLINK("http://www.intercariforef.org/formations/certification-98659.html","98659")</f>
        <v>98659</v>
      </c>
      <c r="F688" s="1">
        <v>43039</v>
      </c>
      <c r="G688" s="1">
        <v>43039</v>
      </c>
    </row>
    <row r="689">
      <c r="A689" t="str">
        <v>Gestion, droit, management</v>
      </c>
      <c r="B689" t="str">
        <v>Le management collaboratif par les objectifs</v>
      </c>
      <c r="C689" t="str">
        <v>Advanseez</v>
      </c>
      <c r="D689" t="str">
        <f>HYPERLINK("https://inventaire.cncp.gouv.fr/fiches/3059/","3059")</f>
        <v>3059</v>
      </c>
      <c r="E689" t="str">
        <f>HYPERLINK("http://www.intercariforef.org/formations/certification-100039.html","100039")</f>
        <v>100039</v>
      </c>
      <c r="F689" s="1">
        <v>43152</v>
      </c>
      <c r="G689" s="1">
        <v>43152</v>
      </c>
    </row>
    <row r="690">
      <c r="A690" t="str">
        <v>Gestion, droit, management</v>
      </c>
      <c r="B690" t="str">
        <v>Le management de la performance par le TEEP®</v>
      </c>
      <c r="C690" t="str">
        <v>Franz Dorner Formation</v>
      </c>
      <c r="D690" t="str">
        <f>HYPERLINK("https://inventaire.cncp.gouv.fr/fiches/3238/","3238")</f>
        <v>3238</v>
      </c>
      <c r="E690" t="str">
        <f>HYPERLINK("http://www.intercariforef.org/formations/certification-101203.html","101203")</f>
        <v>101203</v>
      </c>
      <c r="F690" s="1">
        <v>43250</v>
      </c>
      <c r="G690" s="1">
        <v>43250</v>
      </c>
    </row>
    <row r="691">
      <c r="A691" t="str">
        <v>Gestion, droit, management</v>
      </c>
      <c r="B691" t="str">
        <v>Le parcours du manager</v>
      </c>
      <c r="C691" t="str">
        <v>Formatic centre</v>
      </c>
      <c r="D691" t="str">
        <f>HYPERLINK("https://inventaire.cncp.gouv.fr/fiches/2629/","2629")</f>
        <v>2629</v>
      </c>
      <c r="E691" t="str">
        <f>HYPERLINK("http://www.intercariforef.org/formations/certification-100205.html","100205")</f>
        <v>100205</v>
      </c>
      <c r="F691" s="1">
        <v>43154</v>
      </c>
      <c r="G691" s="1">
        <v>43154</v>
      </c>
    </row>
    <row r="692">
      <c r="A692" t="str">
        <v>Gestion, droit, management</v>
      </c>
      <c r="B692" t="str">
        <v>Lead Auditor ISO 22301</v>
      </c>
      <c r="C692" t="str">
        <v>La sécurité des technologies de l'information</v>
      </c>
      <c r="D692" t="str">
        <f>HYPERLINK("https://inventaire.cncp.gouv.fr/fiches/2339/","2339")</f>
        <v>2339</v>
      </c>
      <c r="E692" t="str">
        <f>HYPERLINK("http://www.intercariforef.org/formations/certification-92097.html","92097")</f>
        <v>92097</v>
      </c>
      <c r="F692" s="1">
        <v>42667</v>
      </c>
      <c r="G692" s="1">
        <v>42718</v>
      </c>
    </row>
    <row r="693">
      <c r="A693" t="str">
        <v>Gestion, droit, management</v>
      </c>
      <c r="B693" t="str">
        <v>Lead Implementer ISO 22301</v>
      </c>
      <c r="C693" t="str">
        <v>La sécurité des technologies de l'information</v>
      </c>
      <c r="D693" t="str">
        <f>HYPERLINK("https://inventaire.cncp.gouv.fr/fiches/2338/","2338")</f>
        <v>2338</v>
      </c>
      <c r="E693" t="str">
        <f>HYPERLINK("http://www.intercariforef.org/formations/certification-92101.html","92101")</f>
        <v>92101</v>
      </c>
      <c r="F693" s="1">
        <v>42667</v>
      </c>
      <c r="G693" s="1">
        <v>42718</v>
      </c>
    </row>
    <row r="694">
      <c r="A694" t="str">
        <v>Gestion, droit, management</v>
      </c>
      <c r="B694" t="str">
        <v>Leadership dans un contexte de changement</v>
      </c>
      <c r="C694" t="str">
        <v>Centre européen d'éducation permanente</v>
      </c>
      <c r="D694" t="str">
        <f>HYPERLINK("https://inventaire.cncp.gouv.fr/fiches/2412/","2412")</f>
        <v>2412</v>
      </c>
      <c r="E694" t="str">
        <f>HYPERLINK("http://www.intercariforef.org/formations/certification-94821.html","94821")</f>
        <v>94821</v>
      </c>
      <c r="F694" s="1">
        <v>42836</v>
      </c>
      <c r="G694" s="1">
        <v>42836</v>
      </c>
    </row>
    <row r="695">
      <c r="A695" t="str">
        <v>Gestion, droit, management</v>
      </c>
      <c r="B695" t="str">
        <v>Leadership et Management</v>
      </c>
      <c r="C695" t="str">
        <v>Valeat Formation</v>
      </c>
      <c r="D695" t="str">
        <f>HYPERLINK("https://inventaire.cncp.gouv.fr/fiches/2375/","2375")</f>
        <v>2375</v>
      </c>
      <c r="E695" t="str">
        <f>HYPERLINK("http://www.intercariforef.org/formations/certification-95247.html","95247")</f>
        <v>95247</v>
      </c>
      <c r="F695" s="1">
        <v>42851</v>
      </c>
      <c r="G695" s="1">
        <v>42851</v>
      </c>
    </row>
    <row r="696">
      <c r="A696" t="str">
        <v>Gestion, droit, management</v>
      </c>
      <c r="B696" t="str">
        <v>Leadership et motivation des équipes</v>
      </c>
      <c r="C696" t="str">
        <v>In.quipio</v>
      </c>
      <c r="D696" t="str">
        <f>HYPERLINK("https://inventaire.cncp.gouv.fr/fiches/3225/","3225")</f>
        <v>3225</v>
      </c>
      <c r="E696" t="str">
        <f>HYPERLINK("http://www.intercariforef.org/formations/certification-100105.html","100105")</f>
        <v>100105</v>
      </c>
      <c r="F696" s="1">
        <v>43153</v>
      </c>
      <c r="G696" s="1">
        <v>43153</v>
      </c>
    </row>
    <row r="697">
      <c r="A697" t="str">
        <v>Gestion, droit, management</v>
      </c>
      <c r="B697" t="str">
        <v>Leadership personnel et excellence collective</v>
      </c>
      <c r="C697" t="str">
        <v>Ecole centrale de Lyon / Université de Lyon</v>
      </c>
      <c r="D697" t="str">
        <f>HYPERLINK("https://inventaire.cncp.gouv.fr/fiches/3352/","3352")</f>
        <v>3352</v>
      </c>
      <c r="E697" t="str">
        <f>HYPERLINK("http://www.intercariforef.org/formations/certification-100161.html","100161")</f>
        <v>100161</v>
      </c>
      <c r="F697" s="1">
        <v>43154</v>
      </c>
      <c r="G697" s="1">
        <v>43154</v>
      </c>
    </row>
    <row r="698">
      <c r="A698" t="str">
        <v>Gestion, droit, management</v>
      </c>
      <c r="B698" t="str">
        <v>Leadership, inspirer et engager</v>
      </c>
      <c r="C698" t="str">
        <v>Moortgat</v>
      </c>
      <c r="D698" t="str">
        <f>HYPERLINK("https://inventaire.cncp.gouv.fr/fiches/3366/","3366")</f>
        <v>3366</v>
      </c>
      <c r="E698" t="str">
        <f>HYPERLINK("http://www.intercariforef.org/formations/certification-100175.html","100175")</f>
        <v>100175</v>
      </c>
      <c r="F698" s="1">
        <v>43154</v>
      </c>
      <c r="G698" s="1">
        <v>43154</v>
      </c>
    </row>
    <row r="699">
      <c r="A699" t="str">
        <v>Gestion, droit, management</v>
      </c>
      <c r="B699" t="str">
        <v>Lean management</v>
      </c>
      <c r="C699" t="str">
        <v>Télécom ParisTech</v>
      </c>
      <c r="D699" t="str">
        <f>HYPERLINK("https://inventaire.cncp.gouv.fr/fiches/1917/","1917")</f>
        <v>1917</v>
      </c>
      <c r="E699" t="str">
        <f>HYPERLINK("http://www.intercariforef.org/formations/certification-88599.html","88599")</f>
        <v>88599</v>
      </c>
      <c r="F699" s="1">
        <v>42482</v>
      </c>
      <c r="G699" s="1">
        <v>42718</v>
      </c>
    </row>
    <row r="700">
      <c r="A700" t="str">
        <v>Gestion, droit, management</v>
      </c>
      <c r="B700" t="str">
        <v>Les Clefs du Management Opérationnel</v>
      </c>
      <c r="C700" t="str">
        <v>IDAE Consulting</v>
      </c>
      <c r="D700" t="str">
        <f>HYPERLINK("https://inventaire.cncp.gouv.fr/fiches/2632/","2632")</f>
        <v>2632</v>
      </c>
      <c r="E700" t="str">
        <f>HYPERLINK("http://www.intercariforef.org/formations/certification-95231.html","95231")</f>
        <v>95231</v>
      </c>
      <c r="F700" s="1">
        <v>42851</v>
      </c>
      <c r="G700" s="1">
        <v>42851</v>
      </c>
    </row>
    <row r="701">
      <c r="A701" t="str">
        <v>Gestion, droit, management</v>
      </c>
      <c r="B701" t="str">
        <v>Les compétences managériales</v>
      </c>
      <c r="C701" t="str">
        <v>ISQ</v>
      </c>
      <c r="D701" t="str">
        <f>HYPERLINK("https://inventaire.cncp.gouv.fr/fiches/1016/","1016")</f>
        <v>1016</v>
      </c>
      <c r="E701" t="str">
        <f>HYPERLINK("http://www.intercariforef.org/formations/certification-85173.html","85173")</f>
        <v>85173</v>
      </c>
      <c r="F701" s="1">
        <v>42201</v>
      </c>
      <c r="G701" s="1">
        <v>42718</v>
      </c>
    </row>
    <row r="702">
      <c r="A702" t="str">
        <v>Gestion, droit, management</v>
      </c>
      <c r="B702" t="str">
        <v>Les fondamentaux du management</v>
      </c>
      <c r="C702" t="str">
        <v>Institut supérieur du marketing</v>
      </c>
      <c r="D702" t="str">
        <f>HYPERLINK("https://inventaire.cncp.gouv.fr/fiches/2166/","2166")</f>
        <v>2166</v>
      </c>
      <c r="E702" t="str">
        <f>HYPERLINK("http://www.intercariforef.org/formations/certification-90043.html","90043")</f>
        <v>90043</v>
      </c>
      <c r="F702" s="1">
        <v>42558</v>
      </c>
      <c r="G702" s="1">
        <v>42718</v>
      </c>
    </row>
    <row r="703">
      <c r="A703" t="str">
        <v>Gestion, droit, management</v>
      </c>
      <c r="B703" t="str">
        <v>Les fondamentaux du management de proximité</v>
      </c>
      <c r="C703" t="str">
        <v>AGISS Formation</v>
      </c>
      <c r="D703" t="str">
        <f>HYPERLINK("https://inventaire.cncp.gouv.fr/fiches/2039/","2039")</f>
        <v>2039</v>
      </c>
      <c r="E703" t="str">
        <f>HYPERLINK("http://www.intercariforef.org/formations/certification-93969.html","93969")</f>
        <v>93969</v>
      </c>
      <c r="F703" s="1">
        <v>42745</v>
      </c>
      <c r="G703" s="1">
        <v>42745</v>
      </c>
    </row>
    <row r="704">
      <c r="A704" t="str">
        <v>Gestion, droit, management</v>
      </c>
      <c r="B704" t="str">
        <v>Les missions en droit social pour un responsable du personnel</v>
      </c>
      <c r="C704" t="str">
        <v>Fidal Formation</v>
      </c>
      <c r="D704" t="str">
        <f>HYPERLINK("https://inventaire.cncp.gouv.fr/fiches/899/","899")</f>
        <v>899</v>
      </c>
      <c r="E704" t="str">
        <f>HYPERLINK("http://www.intercariforef.org/formations/certification-86335.html","86335")</f>
        <v>86335</v>
      </c>
      <c r="F704" s="1">
        <v>42338</v>
      </c>
      <c r="G704" s="1">
        <v>42338</v>
      </c>
    </row>
    <row r="705">
      <c r="A705" t="str">
        <v>Gestion, droit, management</v>
      </c>
      <c r="B705" t="str">
        <v>Les missions juridiques pour un responsable paie (CP FFP)</v>
      </c>
      <c r="C705" t="str">
        <v>Fidal Formation</v>
      </c>
      <c r="D705" t="str">
        <f>HYPERLINK("https://inventaire.cncp.gouv.fr/fiches/990/","990")</f>
        <v>990</v>
      </c>
      <c r="E705" t="str">
        <f>HYPERLINK("http://www.intercariforef.org/formations/certification-89205.html","89205")</f>
        <v>89205</v>
      </c>
      <c r="F705" s="1">
        <v>42521</v>
      </c>
      <c r="G705" s="1">
        <v>42521</v>
      </c>
    </row>
    <row r="706" ht="26.2" customHeight="1">
      <c r="A706" t="str">
        <v>Gestion, droit, management</v>
      </c>
      <c r="B706" t="str">
        <v>Livret de formation CIF - capacité professionnelle des conseillers en investissements financiers</v>
      </c>
      <c r="C706" t="str">
        <v>Ministère de l'économie et des finances, Registre unique des intermédiaires en assurance, banque et finance</v>
      </c>
      <c r="D706" t="str">
        <f>HYPERLINK("https://inventaire.cncp.gouv.fr/fiches/1283/","1283")</f>
        <v>1283</v>
      </c>
      <c r="E706" t="str">
        <f>HYPERLINK("http://www.intercariforef.org/formations/certification-85532.html","85532")</f>
        <v>85532</v>
      </c>
      <c r="F706" s="1">
        <v>42269</v>
      </c>
      <c r="G706" s="1">
        <v>42269</v>
      </c>
    </row>
    <row r="707">
      <c r="A707" t="str">
        <v>Gestion, droit, management</v>
      </c>
      <c r="B707" t="str">
        <v>Maîtrise du droit social en entreprise</v>
      </c>
      <c r="C707" t="str">
        <v>Édition formation entreprise (EFE)</v>
      </c>
      <c r="D707" t="str">
        <f>HYPERLINK("https://inventaire.cncp.gouv.fr/fiches/3283/","3283")</f>
        <v>3283</v>
      </c>
      <c r="E707" t="str">
        <f>HYPERLINK("http://www.intercariforef.org/formations/certification-104031.html","104031")</f>
        <v>104031</v>
      </c>
      <c r="F707" s="1">
        <v>43392</v>
      </c>
      <c r="G707" s="1">
        <v>43392</v>
      </c>
    </row>
    <row r="708">
      <c r="A708" t="str">
        <v>Gestion, droit, management</v>
      </c>
      <c r="B708" t="str">
        <v>Maitriser les clés du leadership et de la stratégie en environnement complexe</v>
      </c>
      <c r="C708" t="str">
        <v>Institut européen d'administration des affaires de Fontainebleau (INSEAD)</v>
      </c>
      <c r="D708" t="str">
        <f>HYPERLINK("https://inventaire.cncp.gouv.fr/fiches/3575/","3575")</f>
        <v>3575</v>
      </c>
      <c r="E708" t="str">
        <f>HYPERLINK("http://www.intercariforef.org/formations/certification-101165.html","101165")</f>
        <v>101165</v>
      </c>
      <c r="F708" s="1">
        <v>43250</v>
      </c>
      <c r="G708" s="1">
        <v>43250</v>
      </c>
    </row>
    <row r="709">
      <c r="A709" t="str">
        <v>Gestion, droit, management</v>
      </c>
      <c r="B709" t="str">
        <v>Management collaboratif</v>
      </c>
      <c r="C709" t="str">
        <v>COEF Continu</v>
      </c>
      <c r="D709" t="str">
        <f>HYPERLINK("https://inventaire.cncp.gouv.fr/fiches/3089/","3089")</f>
        <v>3089</v>
      </c>
      <c r="E709" t="str">
        <f>HYPERLINK("http://www.intercariforef.org/formations/certification-98399.html","98399")</f>
        <v>98399</v>
      </c>
      <c r="F709" s="1">
        <v>43027</v>
      </c>
      <c r="G709" s="1">
        <v>43027</v>
      </c>
    </row>
    <row r="710">
      <c r="A710" t="str">
        <v>Gestion, droit, management</v>
      </c>
      <c r="B710" t="str">
        <v>Management de la Performance</v>
      </c>
      <c r="C710" t="str">
        <v>Inéa Conseil</v>
      </c>
      <c r="D710" t="str">
        <f>HYPERLINK("https://inventaire.cncp.gouv.fr/fiches/3294/","3294")</f>
        <v>3294</v>
      </c>
      <c r="E710" t="str">
        <f>HYPERLINK("http://www.intercariforef.org/formations/certification-101247.html","101247")</f>
        <v>101247</v>
      </c>
      <c r="F710" s="1">
        <v>43255</v>
      </c>
      <c r="G710" s="1">
        <v>43255</v>
      </c>
    </row>
    <row r="711">
      <c r="A711" t="str">
        <v>Gestion, droit, management</v>
      </c>
      <c r="B711" t="str">
        <v>Management de la performance collective</v>
      </c>
      <c r="C711" t="str">
        <v>Oasys mobilisation</v>
      </c>
      <c r="D711" t="str">
        <f>HYPERLINK("https://inventaire.cncp.gouv.fr/fiches/3546/","3546")</f>
        <v>3546</v>
      </c>
      <c r="E711" t="str">
        <f>HYPERLINK("http://www.intercariforef.org/formations/certification-100537.html","100537")</f>
        <v>100537</v>
      </c>
      <c r="F711" s="1">
        <v>43187</v>
      </c>
      <c r="G711" s="1">
        <v>43187</v>
      </c>
    </row>
    <row r="712">
      <c r="A712" t="str">
        <v>Gestion, droit, management</v>
      </c>
      <c r="B712" t="str">
        <v>Management de Projet - Gestion avancée de projet : qualité, coûts, délais et risques</v>
      </c>
      <c r="C712" t="str">
        <v>CPNE des bureaux d'études techniques, cabinets d'ingénieurs conseils et sociétés de conseils</v>
      </c>
      <c r="D712" t="str">
        <f>HYPERLINK("https://inventaire.cncp.gouv.fr/fiches/3756/","3756")</f>
        <v>3756</v>
      </c>
      <c r="E712" t="str">
        <f>HYPERLINK("http://www.intercariforef.org/formations/certification-102181.html","102181")</f>
        <v>102181</v>
      </c>
      <c r="F712" s="1">
        <v>43293</v>
      </c>
      <c r="G712" s="1">
        <v>43293</v>
      </c>
    </row>
    <row r="713">
      <c r="A713" t="str">
        <v>Gestion, droit, management</v>
      </c>
      <c r="B713" t="str">
        <v>Management de Projet - Gestion commerciale et contractuelle d'un projet</v>
      </c>
      <c r="C713" t="str">
        <v>CPNE des bureaux d'études techniques, cabinets d'ingénieurs conseils et sociétés de conseils</v>
      </c>
      <c r="D713" t="str">
        <f>HYPERLINK("https://inventaire.cncp.gouv.fr/fiches/3769/","3769")</f>
        <v>3769</v>
      </c>
      <c r="E713" t="str">
        <f>HYPERLINK("http://www.intercariforef.org/formations/certification-102171.html","102171")</f>
        <v>102171</v>
      </c>
      <c r="F713" s="1">
        <v>43293</v>
      </c>
      <c r="G713" s="1">
        <v>43293</v>
      </c>
    </row>
    <row r="714">
      <c r="A714" t="str">
        <v>Gestion, droit, management</v>
      </c>
      <c r="B714" t="str">
        <v>Management de Projet - Gestion de programme et de portefeuille de projets</v>
      </c>
      <c r="C714" t="str">
        <v>CPNE des bureaux d'études techniques, cabinets d'ingénieurs conseils et sociétés de conseils</v>
      </c>
      <c r="D714" t="str">
        <f>HYPERLINK("https://inventaire.cncp.gouv.fr/fiches/3767/","3767")</f>
        <v>3767</v>
      </c>
      <c r="E714" t="str">
        <f>HYPERLINK("http://www.intercariforef.org/formations/certification-102175.html","102175")</f>
        <v>102175</v>
      </c>
      <c r="F714" s="1">
        <v>43293</v>
      </c>
      <c r="G714" s="1">
        <v>43293</v>
      </c>
    </row>
    <row r="715">
      <c r="A715" t="str">
        <v>Gestion, droit, management</v>
      </c>
      <c r="B715" t="str">
        <v>Management de Projet - Gestion d'un projet d'ingénierie</v>
      </c>
      <c r="C715" t="str">
        <v>CPNE des bureaux d'études techniques, cabinets d'ingénieurs conseils et sociétés de conseils</v>
      </c>
      <c r="D715" t="str">
        <f>HYPERLINK("https://inventaire.cncp.gouv.fr/fiches/3768/","3768")</f>
        <v>3768</v>
      </c>
      <c r="E715" t="str">
        <f>HYPERLINK("http://www.intercariforef.org/formations/certification-102173.html","102173")</f>
        <v>102173</v>
      </c>
      <c r="F715" s="1">
        <v>43293</v>
      </c>
      <c r="G715" s="1">
        <v>43293</v>
      </c>
    </row>
    <row r="716">
      <c r="A716" t="str">
        <v>Gestion, droit, management</v>
      </c>
      <c r="B716" t="str">
        <v>Management de Projet - Gestion d'un projet numérique</v>
      </c>
      <c r="C716" t="str">
        <v>CPNE des bureaux d'études techniques, cabinets d'ingénieurs conseils et sociétés de conseils</v>
      </c>
      <c r="D716" t="str">
        <f>HYPERLINK("https://inventaire.cncp.gouv.fr/fiches/3758/","3758")</f>
        <v>3758</v>
      </c>
      <c r="E716" t="str">
        <f>HYPERLINK("http://www.intercariforef.org/formations/certification-102179.html","102179")</f>
        <v>102179</v>
      </c>
      <c r="F716" s="1">
        <v>43293</v>
      </c>
      <c r="G716" s="1">
        <v>43293</v>
      </c>
    </row>
    <row r="717">
      <c r="A717" t="str">
        <v>Gestion, droit, management</v>
      </c>
      <c r="B717" t="str">
        <v>Management de Projet - Gestion opérationnelle de projet</v>
      </c>
      <c r="C717" t="str">
        <v>CPNE des bureaux d'études techniques, cabinets d'ingénieurs conseils et sociétés de conseils</v>
      </c>
      <c r="D717" t="str">
        <f>HYPERLINK("https://inventaire.cncp.gouv.fr/fiches/3657/","3657")</f>
        <v>3657</v>
      </c>
      <c r="E717" t="str">
        <f>HYPERLINK("http://www.intercariforef.org/formations/certification-102183.html","102183")</f>
        <v>102183</v>
      </c>
      <c r="F717" s="1">
        <v>43293</v>
      </c>
      <c r="G717" s="1">
        <v>43293</v>
      </c>
    </row>
    <row r="718">
      <c r="A718" t="str">
        <v>Gestion, droit, management</v>
      </c>
      <c r="B718" t="str">
        <v>Management de Projet - Management des acteurs de projet</v>
      </c>
      <c r="C718" t="str">
        <v>CPNE des bureaux d'études techniques, cabinets d'ingénieurs conseils et sociétés de conseils</v>
      </c>
      <c r="D718" t="str">
        <f>HYPERLINK("https://inventaire.cncp.gouv.fr/fiches/3759/","3759")</f>
        <v>3759</v>
      </c>
      <c r="E718" t="str">
        <f>HYPERLINK("http://www.intercariforef.org/formations/certification-102177.html","102177")</f>
        <v>102177</v>
      </c>
      <c r="F718" s="1">
        <v>43293</v>
      </c>
      <c r="G718" s="1">
        <v>43293</v>
      </c>
    </row>
    <row r="719" ht="26.2" customHeight="1">
      <c r="A719" t="str">
        <v>Gestion, droit, management</v>
      </c>
      <c r="B719" t="str">
        <v>Management de projets dans un environnement opérationnel des industries de défense et de sécurité</v>
      </c>
      <c r="C719" t="str">
        <v>Saint Cyr Formation Continue</v>
      </c>
      <c r="D719" t="str">
        <f>HYPERLINK("https://inventaire.cncp.gouv.fr/fiches/2969/","2969")</f>
        <v>2969</v>
      </c>
      <c r="E719" t="str">
        <f>HYPERLINK("http://www.intercariforef.org/formations/certification-98405.html","98405")</f>
        <v>98405</v>
      </c>
      <c r="F719" s="1">
        <v>43027</v>
      </c>
      <c r="G719" s="1">
        <v>43027</v>
      </c>
    </row>
    <row r="720">
      <c r="A720" t="str">
        <v>Gestion, droit, management</v>
      </c>
      <c r="B720" t="str">
        <v>Management de projets en situation complexe</v>
      </c>
      <c r="C720" t="str">
        <v>Saint Cyr Formation Continue</v>
      </c>
      <c r="D720" t="str">
        <f>HYPERLINK("https://inventaire.cncp.gouv.fr/fiches/2971/","2971")</f>
        <v>2971</v>
      </c>
      <c r="E720" t="str">
        <f>HYPERLINK("http://www.intercariforef.org/formations/certification-98401.html","98401")</f>
        <v>98401</v>
      </c>
      <c r="F720" s="1">
        <v>43027</v>
      </c>
      <c r="G720" s="1">
        <v>43027</v>
      </c>
    </row>
    <row r="721">
      <c r="A721" t="str">
        <v>Gestion, droit, management</v>
      </c>
      <c r="B721" t="str">
        <v>Management de projets opérationnels</v>
      </c>
      <c r="C721" t="str">
        <v>M2I Formation</v>
      </c>
      <c r="D721" t="str">
        <f>HYPERLINK("https://inventaire.cncp.gouv.fr/fiches/2982/","2982")</f>
        <v>2982</v>
      </c>
      <c r="E721" t="str">
        <f>HYPERLINK("http://www.intercariforef.org/formations/certification-96507.html","96507")</f>
        <v>96507</v>
      </c>
      <c r="F721" s="1">
        <v>42928</v>
      </c>
      <c r="G721" s="1">
        <v>42928</v>
      </c>
    </row>
    <row r="722">
      <c r="A722" t="str">
        <v>Gestion, droit, management</v>
      </c>
      <c r="B722" t="str">
        <v>Management de proximité</v>
      </c>
      <c r="C722" t="str">
        <v>Centre européen des examens de la fédération européenne des écoles</v>
      </c>
      <c r="D722" t="str">
        <f>HYPERLINK("https://inventaire.cncp.gouv.fr/fiches/3421/","3421")</f>
        <v>3421</v>
      </c>
      <c r="E722" t="str">
        <f>HYPERLINK("http://www.intercariforef.org/formations/certification-100621.html","100621")</f>
        <v>100621</v>
      </c>
      <c r="F722" s="1">
        <v>43193</v>
      </c>
      <c r="G722" s="1">
        <v>43193</v>
      </c>
    </row>
    <row r="723">
      <c r="A723" t="str">
        <v>Gestion, droit, management</v>
      </c>
      <c r="B723" t="str">
        <v>Management de proximité</v>
      </c>
      <c r="C723" t="str">
        <v>Groupe DMM</v>
      </c>
      <c r="D723" t="str">
        <f>HYPERLINK("https://inventaire.cncp.gouv.fr/fiches/3520/","3520")</f>
        <v>3520</v>
      </c>
      <c r="E723" t="str">
        <f>HYPERLINK("http://www.intercariforef.org/formations/certification-100639.html","100639")</f>
        <v>100639</v>
      </c>
      <c r="F723" s="1">
        <v>43194</v>
      </c>
      <c r="G723" s="1">
        <v>43194</v>
      </c>
    </row>
    <row r="724" ht="26.2" customHeight="1">
      <c r="A724" t="str">
        <v>Gestion, droit, management</v>
      </c>
      <c r="B724" t="str">
        <v>Management de proximité - Cohésion et gestion des relations de l'équipe</v>
      </c>
      <c r="C724" t="str">
        <v>CPNE de la métallurgie, CPNE de l'industrie textile, CPNE de l'intersecteurs papiers-cartons, CPNE des industries de l'habillement</v>
      </c>
      <c r="D724" t="str">
        <f>HYPERLINK("https://inventaire.cncp.gouv.fr/fiches/2528/","2528")</f>
        <v>2528</v>
      </c>
      <c r="E724" t="str">
        <f>HYPERLINK("http://www.intercariforef.org/formations/certification-93779.html","93779")</f>
        <v>93779</v>
      </c>
      <c r="F724" s="1">
        <v>42725</v>
      </c>
      <c r="G724" s="1">
        <v>42979</v>
      </c>
    </row>
    <row r="725">
      <c r="A725" t="str">
        <v>Gestion, droit, management</v>
      </c>
      <c r="B725" t="str">
        <v>Management de proximité - CP FFP</v>
      </c>
      <c r="C725" t="str">
        <v>Édition formation entreprise (EFE)</v>
      </c>
      <c r="D725" t="str">
        <f>HYPERLINK("https://inventaire.cncp.gouv.fr/fiches/1164/","1164")</f>
        <v>1164</v>
      </c>
      <c r="E725" t="str">
        <f>HYPERLINK("http://www.intercariforef.org/formations/certification-86383.html","86383")</f>
        <v>86383</v>
      </c>
      <c r="F725" s="1">
        <v>42340</v>
      </c>
      <c r="G725" s="1">
        <v>43392</v>
      </c>
    </row>
    <row r="726" ht="26.2" customHeight="1">
      <c r="A726" t="str">
        <v>Gestion, droit, management</v>
      </c>
      <c r="B726" t="str">
        <v>Management de proximité - Gestion des activités de l'équipe</v>
      </c>
      <c r="C726" t="str">
        <v>CPNE de la métallurgie, CPNE de l'industrie textile, CPNE de l'intersecteurs papiers-cartons, CPNE des industries de l'habillement</v>
      </c>
      <c r="D726" t="str">
        <f>HYPERLINK("https://inventaire.cncp.gouv.fr/fiches/2526/","2526")</f>
        <v>2526</v>
      </c>
      <c r="E726" t="str">
        <f>HYPERLINK("http://www.intercariforef.org/formations/certification-93781.html","93781")</f>
        <v>93781</v>
      </c>
      <c r="F726" s="1">
        <v>42725</v>
      </c>
      <c r="G726" s="1">
        <v>42979</v>
      </c>
    </row>
    <row r="727" ht="26.2" customHeight="1">
      <c r="A727" t="str">
        <v>Gestion, droit, management</v>
      </c>
      <c r="B727" t="str">
        <v>Management de proximité - Gestion opérationnelle des ressources humaines de l'équipe</v>
      </c>
      <c r="C727" t="str">
        <v>CPNE de la métallurgie, CPNE de l'industrie textile, CPNE de l'intersecteurs papiers-cartons, CPNE des industries de l'habillement</v>
      </c>
      <c r="D727" t="str">
        <f>HYPERLINK("https://inventaire.cncp.gouv.fr/fiches/2542/","2542")</f>
        <v>2542</v>
      </c>
      <c r="E727" t="str">
        <f>HYPERLINK("http://www.intercariforef.org/formations/certification-93777.html","93777")</f>
        <v>93777</v>
      </c>
      <c r="F727" s="1">
        <v>42725</v>
      </c>
      <c r="G727" s="1">
        <v>42979</v>
      </c>
    </row>
    <row r="728">
      <c r="A728" t="str">
        <v>Gestion, droit, management</v>
      </c>
      <c r="B728" t="str">
        <v>Management de proximité (CP FFP)</v>
      </c>
      <c r="C728" t="str">
        <v>Cegos</v>
      </c>
      <c r="D728" t="str">
        <f>HYPERLINK("https://inventaire.cncp.gouv.fr/fiches/2156/","2156")</f>
        <v>2156</v>
      </c>
      <c r="E728" t="str">
        <f>HYPERLINK("http://www.intercariforef.org/formations/certification-90067.html","90067")</f>
        <v>90067</v>
      </c>
      <c r="F728" s="1">
        <v>42559</v>
      </c>
      <c r="G728" s="1">
        <v>42979</v>
      </c>
    </row>
    <row r="729">
      <c r="A729" t="str">
        <v>Gestion, droit, management</v>
      </c>
      <c r="B729" t="str">
        <v>Management de transition</v>
      </c>
      <c r="C729" t="str">
        <v>Institut de formation au management de transition</v>
      </c>
      <c r="D729" t="str">
        <f>HYPERLINK("https://inventaire.cncp.gouv.fr/fiches/3955/","3955")</f>
        <v>3955</v>
      </c>
      <c r="E729" t="str">
        <f>HYPERLINK("http://www.intercariforef.org/formations/certification-104101.html","104101")</f>
        <v>104101</v>
      </c>
      <c r="F729" s="1">
        <v>43398</v>
      </c>
      <c r="G729" s="1">
        <v>43398</v>
      </c>
    </row>
    <row r="730">
      <c r="A730" t="str">
        <v>Gestion, droit, management</v>
      </c>
      <c r="B730" t="str">
        <v>Management d'équipe</v>
      </c>
      <c r="C730" t="str">
        <v>Édition formation entreprise (EFE)</v>
      </c>
      <c r="D730" t="str">
        <f>HYPERLINK("https://inventaire.cncp.gouv.fr/fiches/3284/","3284")</f>
        <v>3284</v>
      </c>
      <c r="E730" t="str">
        <f>HYPERLINK("http://www.intercariforef.org/formations/certification-104027.html","104027")</f>
        <v>104027</v>
      </c>
      <c r="F730" s="1">
        <v>43392</v>
      </c>
      <c r="G730" s="1">
        <v>43392</v>
      </c>
    </row>
    <row r="731">
      <c r="A731" t="str">
        <v>Gestion, droit, management</v>
      </c>
      <c r="B731" t="str">
        <v>Management d'équipe et efficience</v>
      </c>
      <c r="C731" t="str">
        <v>Saint Cyr Formation Continue</v>
      </c>
      <c r="D731" t="str">
        <f>HYPERLINK("https://inventaire.cncp.gouv.fr/fiches/2970/","2970")</f>
        <v>2970</v>
      </c>
      <c r="E731" t="str">
        <f>HYPERLINK("http://www.intercariforef.org/formations/certification-98403.html","98403")</f>
        <v>98403</v>
      </c>
      <c r="F731" s="1">
        <v>43027</v>
      </c>
      <c r="G731" s="1">
        <v>43027</v>
      </c>
    </row>
    <row r="732">
      <c r="A732" t="str">
        <v>Gestion, droit, management</v>
      </c>
      <c r="B732" t="str">
        <v>Management des équipes</v>
      </c>
      <c r="C732" t="str">
        <v>Interactif</v>
      </c>
      <c r="D732" t="str">
        <f>HYPERLINK("https://inventaire.cncp.gouv.fr/fiches/2782/","2782")</f>
        <v>2782</v>
      </c>
      <c r="E732" t="str">
        <f>HYPERLINK("http://www.intercariforef.org/formations/certification-95637.html","95637")</f>
        <v>95637</v>
      </c>
      <c r="F732" s="1">
        <v>42893</v>
      </c>
      <c r="G732" s="1">
        <v>42893</v>
      </c>
    </row>
    <row r="733">
      <c r="A733" t="str">
        <v>Gestion, droit, management</v>
      </c>
      <c r="B733" t="str">
        <v>Management des Intelligences de l'organisation</v>
      </c>
      <c r="C733" t="str">
        <v>Herrmann International Europe</v>
      </c>
      <c r="D733" t="str">
        <f>HYPERLINK("https://inventaire.cncp.gouv.fr/fiches/2365/","2365")</f>
        <v>2365</v>
      </c>
      <c r="E733" t="str">
        <f>HYPERLINK("http://www.intercariforef.org/formations/certification-95249.html","95249")</f>
        <v>95249</v>
      </c>
      <c r="F733" s="1">
        <v>42851</v>
      </c>
      <c r="G733" s="1">
        <v>42851</v>
      </c>
    </row>
    <row r="734">
      <c r="A734" t="str">
        <v>Gestion, droit, management</v>
      </c>
      <c r="B734" t="str">
        <v>Management des relations d'équipe</v>
      </c>
      <c r="C734" t="str">
        <v>Evolugo</v>
      </c>
      <c r="D734" t="str">
        <f>HYPERLINK("https://inventaire.cncp.gouv.fr/fiches/3288/","3288")</f>
        <v>3288</v>
      </c>
      <c r="E734" t="str">
        <f>HYPERLINK("http://www.intercariforef.org/formations/certification-101343.html","101343")</f>
        <v>101343</v>
      </c>
      <c r="F734" s="1">
        <v>43256</v>
      </c>
      <c r="G734" s="1">
        <v>43256</v>
      </c>
    </row>
    <row r="735">
      <c r="A735" t="str">
        <v>Gestion, droit, management</v>
      </c>
      <c r="B735" t="str">
        <v>Management des Risques Financiers et Assurantiels</v>
      </c>
      <c r="C735" t="str">
        <v>Institut des actuaires</v>
      </c>
      <c r="D735" t="str">
        <f>HYPERLINK("https://inventaire.cncp.gouv.fr/fiches/3022/","3022")</f>
        <v>3022</v>
      </c>
      <c r="E735" t="str">
        <f>HYPERLINK("http://www.intercariforef.org/formations/certification-97137.html","97137")</f>
        <v>97137</v>
      </c>
      <c r="F735" s="1">
        <v>42983</v>
      </c>
      <c r="G735" s="1">
        <v>42983</v>
      </c>
    </row>
    <row r="736">
      <c r="A736" t="str">
        <v>Gestion, droit, management</v>
      </c>
      <c r="B736" t="str">
        <v>Management du changement</v>
      </c>
      <c r="C736" t="str">
        <v>Unow</v>
      </c>
      <c r="D736" t="str">
        <f>HYPERLINK("https://inventaire.cncp.gouv.fr/fiches/3682/","3682")</f>
        <v>3682</v>
      </c>
      <c r="E736" t="str">
        <f>HYPERLINK("http://www.intercariforef.org/formations/certification-103995.html","103995")</f>
        <v>103995</v>
      </c>
      <c r="F736" s="1">
        <v>43392</v>
      </c>
      <c r="G736" s="1">
        <v>43392</v>
      </c>
    </row>
    <row r="737">
      <c r="A737" t="str">
        <v>Gestion, droit, management</v>
      </c>
      <c r="B737" t="str">
        <v>Management du changement pour les organisations de demain</v>
      </c>
      <c r="C737" t="str">
        <v>Centre européen d'éducation permanente</v>
      </c>
      <c r="D737" t="str">
        <f>HYPERLINK("https://inventaire.cncp.gouv.fr/fiches/2414/","2414")</f>
        <v>2414</v>
      </c>
      <c r="E737" t="str">
        <f>HYPERLINK("http://www.intercariforef.org/formations/certification-94879.html","94879")</f>
        <v>94879</v>
      </c>
      <c r="F737" s="1">
        <v>42836</v>
      </c>
      <c r="G737" s="1">
        <v>42836</v>
      </c>
    </row>
    <row r="738">
      <c r="A738" t="str">
        <v>Gestion, droit, management</v>
      </c>
      <c r="B738" t="str">
        <v>Management Général Avancé</v>
      </c>
      <c r="C738" t="str">
        <v>HEC Paris</v>
      </c>
      <c r="D738" t="str">
        <f>HYPERLINK("https://inventaire.cncp.gouv.fr/fiches/3257/","3257")</f>
        <v>3257</v>
      </c>
      <c r="E738" t="str">
        <f>HYPERLINK("http://www.intercariforef.org/formations/certification-99181.html","99181")</f>
        <v>99181</v>
      </c>
      <c r="F738" s="1">
        <v>43076</v>
      </c>
      <c r="G738" s="1">
        <v>43076</v>
      </c>
    </row>
    <row r="739">
      <c r="A739" t="str">
        <v>Gestion, droit, management</v>
      </c>
      <c r="B739" t="str">
        <v>Management opérationnel</v>
      </c>
      <c r="C739" t="str">
        <v>Akor consulting</v>
      </c>
      <c r="D739" t="str">
        <f>HYPERLINK("https://inventaire.cncp.gouv.fr/fiches/629/","629")</f>
        <v>629</v>
      </c>
      <c r="E739" t="str">
        <f>HYPERLINK("http://www.intercariforef.org/formations/certification-85174.html","85174")</f>
        <v>85174</v>
      </c>
      <c r="F739" s="1">
        <v>42201</v>
      </c>
      <c r="G739" s="1">
        <v>42718</v>
      </c>
    </row>
    <row r="740">
      <c r="A740" t="str">
        <v>Gestion, droit, management</v>
      </c>
      <c r="B740" t="str">
        <v>Management opérationnel Agile</v>
      </c>
      <c r="C740" t="str">
        <v>Jobbing partner</v>
      </c>
      <c r="D740" t="str">
        <f>HYPERLINK("https://inventaire.cncp.gouv.fr/fiches/3409/","3409")</f>
        <v>3409</v>
      </c>
      <c r="E740" t="str">
        <f>HYPERLINK("http://www.intercariforef.org/formations/certification-100005.html","100005")</f>
        <v>100005</v>
      </c>
      <c r="F740" s="1">
        <v>43151</v>
      </c>
      <c r="G740" s="1">
        <v>43151</v>
      </c>
    </row>
    <row r="741">
      <c r="A741" t="str">
        <v>Gestion, droit, management</v>
      </c>
      <c r="B741" t="str">
        <v>Management stratégique : Diriger un centre de profit, une unité, une "business unit" (CP FFP)</v>
      </c>
      <c r="C741" t="str">
        <v>Cegos</v>
      </c>
      <c r="D741" t="str">
        <f>HYPERLINK("https://inventaire.cncp.gouv.fr/fiches/2178/","2178")</f>
        <v>2178</v>
      </c>
      <c r="E741" t="str">
        <f>HYPERLINK("http://www.intercariforef.org/formations/certification-90041.html","90041")</f>
        <v>90041</v>
      </c>
      <c r="F741" s="1">
        <v>42558</v>
      </c>
      <c r="G741" s="1">
        <v>42979</v>
      </c>
    </row>
    <row r="742">
      <c r="A742" t="str">
        <v>Gestion, droit, management</v>
      </c>
      <c r="B742" t="str">
        <v>Management stratégique de l'innovation et des services</v>
      </c>
      <c r="C742" t="str">
        <v>Association Groupe ESSEC</v>
      </c>
      <c r="D742" t="str">
        <f>HYPERLINK("https://inventaire.cncp.gouv.fr/fiches/3368/","3368")</f>
        <v>3368</v>
      </c>
      <c r="E742" t="str">
        <f>HYPERLINK("http://www.intercariforef.org/formations/certification-100043.html","100043")</f>
        <v>100043</v>
      </c>
      <c r="F742" s="1">
        <v>43152</v>
      </c>
      <c r="G742" s="1">
        <v>43152</v>
      </c>
    </row>
    <row r="743">
      <c r="A743" t="str">
        <v>Gestion, droit, management</v>
      </c>
      <c r="B743" t="str">
        <v>Management stratégique d'une PME / TPE</v>
      </c>
      <c r="C743" t="str">
        <v>ScoConseil</v>
      </c>
      <c r="D743" t="str">
        <f>HYPERLINK("https://inventaire.cncp.gouv.fr/fiches/2527/","2527")</f>
        <v>2527</v>
      </c>
      <c r="E743" t="str">
        <f>HYPERLINK("http://www.intercariforef.org/formations/certification-96863.html","96863")</f>
        <v>96863</v>
      </c>
      <c r="F743" s="1">
        <v>42937</v>
      </c>
      <c r="G743" s="1">
        <v>42937</v>
      </c>
    </row>
    <row r="744">
      <c r="A744" t="str">
        <v>Gestion, droit, management</v>
      </c>
      <c r="B744" t="str">
        <v>Manager Expérimenté</v>
      </c>
      <c r="C744" t="str">
        <v>Communication Structure Perfectionnement (CSP - The Art of Training)</v>
      </c>
      <c r="D744" t="str">
        <f>HYPERLINK("https://inventaire.cncp.gouv.fr/fiches/3350/","3350")</f>
        <v>3350</v>
      </c>
      <c r="E744" t="str">
        <f>HYPERLINK("http://www.intercariforef.org/formations/certification-100047.html","100047")</f>
        <v>100047</v>
      </c>
      <c r="F744" s="1">
        <v>43152</v>
      </c>
      <c r="G744" s="1">
        <v>43152</v>
      </c>
    </row>
    <row r="745" ht="26.2" customHeight="1">
      <c r="A745" t="str">
        <v>Gestion, droit, management</v>
      </c>
      <c r="B745" t="str">
        <v>Manager la diversité et obtenir l'adhésion individuelle et collective pour créer la cohésion d'équipe</v>
      </c>
      <c r="C745" t="str">
        <v>AGISS Formation</v>
      </c>
      <c r="D745" t="str">
        <f>HYPERLINK("https://inventaire.cncp.gouv.fr/fiches/2133/","2133")</f>
        <v>2133</v>
      </c>
      <c r="E745" t="str">
        <f>HYPERLINK("http://www.intercariforef.org/formations/certification-93833.html","93833")</f>
        <v>93833</v>
      </c>
      <c r="F745" s="1">
        <v>42740</v>
      </c>
      <c r="G745" s="1">
        <v>42740</v>
      </c>
    </row>
    <row r="746">
      <c r="A746" t="str">
        <v>Gestion, droit, management</v>
      </c>
      <c r="B746" t="str">
        <v>Manager la diversité interculturelle et intergénérationnelle</v>
      </c>
      <c r="C746" t="str">
        <v>Moortgat</v>
      </c>
      <c r="D746" t="str">
        <f>HYPERLINK("https://inventaire.cncp.gouv.fr/fiches/2581/","2581")</f>
        <v>2581</v>
      </c>
      <c r="E746" t="str">
        <f>HYPERLINK("http://www.intercariforef.org/formations/certification-98539.html","98539")</f>
        <v>98539</v>
      </c>
      <c r="F746" s="1">
        <v>43034</v>
      </c>
      <c r="G746" s="1">
        <v>43034</v>
      </c>
    </row>
    <row r="747">
      <c r="A747" t="str">
        <v>Gestion, droit, management</v>
      </c>
      <c r="B747" t="str">
        <v>Manager les équipes dans les organisations complexes</v>
      </c>
      <c r="C747" t="str">
        <v>Atorg</v>
      </c>
      <c r="D747" t="str">
        <f>HYPERLINK("https://inventaire.cncp.gouv.fr/fiches/4082/","4082")</f>
        <v>4082</v>
      </c>
      <c r="E747" t="str">
        <f>HYPERLINK("http://www.intercariforef.org/formations/certification-104087.html","104087")</f>
        <v>104087</v>
      </c>
      <c r="F747" s="1">
        <v>43397</v>
      </c>
      <c r="G747" s="1">
        <v>43397</v>
      </c>
    </row>
    <row r="748">
      <c r="A748" t="str">
        <v>Gestion, droit, management</v>
      </c>
      <c r="B748" t="str">
        <v>Manager piloter au quotidien</v>
      </c>
      <c r="C748" t="str">
        <v>Moortgat</v>
      </c>
      <c r="D748" t="str">
        <f>HYPERLINK("https://inventaire.cncp.gouv.fr/fiches/2572/","2572")</f>
        <v>2572</v>
      </c>
      <c r="E748" t="str">
        <f>HYPERLINK("http://www.intercariforef.org/formations/certification-96795.html","96795")</f>
        <v>96795</v>
      </c>
      <c r="F748" s="1">
        <v>42934</v>
      </c>
      <c r="G748" s="1">
        <v>42934</v>
      </c>
    </row>
    <row r="749">
      <c r="A749" t="str">
        <v>Gestion, droit, management</v>
      </c>
      <c r="B749" t="str">
        <v>Manager un projet</v>
      </c>
      <c r="C749" t="str">
        <v>Communication Structure Perfectionnement (CSP - The Art of Training)</v>
      </c>
      <c r="D749" t="str">
        <f>HYPERLINK("https://inventaire.cncp.gouv.fr/fiches/3280/","3280")</f>
        <v>3280</v>
      </c>
      <c r="E749" t="str">
        <f>HYPERLINK("http://www.intercariforef.org/formations/certification-100107.html","100107")</f>
        <v>100107</v>
      </c>
      <c r="F749" s="1">
        <v>43153</v>
      </c>
      <c r="G749" s="1">
        <v>43319</v>
      </c>
    </row>
    <row r="750">
      <c r="A750" t="str">
        <v>Gestion, droit, management</v>
      </c>
      <c r="B750" t="str">
        <v>Manager une activité (BADGE)</v>
      </c>
      <c r="C750" t="str">
        <v>Grenoble école de management</v>
      </c>
      <c r="D750" t="str">
        <f>HYPERLINK("https://inventaire.cncp.gouv.fr/fiches/2429/","2429")</f>
        <v>2429</v>
      </c>
      <c r="E750" t="str">
        <f>HYPERLINK("http://www.intercariforef.org/formations/certification-94949.html","94949")</f>
        <v>94949</v>
      </c>
      <c r="F750" s="1">
        <v>42837</v>
      </c>
      <c r="G750" s="1">
        <v>42877</v>
      </c>
    </row>
    <row r="751">
      <c r="A751" t="str">
        <v>Gestion, droit, management</v>
      </c>
      <c r="B751" t="str">
        <v>Manager une équipe : fondamentaux</v>
      </c>
      <c r="C751" t="str">
        <v>Ecole polytechnique</v>
      </c>
      <c r="D751" t="str">
        <f>HYPERLINK("https://inventaire.cncp.gouv.fr/fiches/1061/","1061")</f>
        <v>1061</v>
      </c>
      <c r="E751" t="str">
        <f>HYPERLINK("http://www.intercariforef.org/formations/certification-86206.html","86206")</f>
        <v>86206</v>
      </c>
      <c r="F751" s="1">
        <v>42318</v>
      </c>
      <c r="G751" s="1">
        <v>42718</v>
      </c>
    </row>
    <row r="752">
      <c r="A752" t="str">
        <v>Gestion, droit, management</v>
      </c>
      <c r="B752" t="str">
        <v>Manager une équipe : perfectionnement</v>
      </c>
      <c r="C752" t="str">
        <v>Ecole polytechnique</v>
      </c>
      <c r="D752" t="str">
        <f>HYPERLINK("https://inventaire.cncp.gouv.fr/fiches/1062/","1062")</f>
        <v>1062</v>
      </c>
      <c r="E752" t="str">
        <f>HYPERLINK("http://www.intercariforef.org/formations/certification-86207.html","86207")</f>
        <v>86207</v>
      </c>
      <c r="F752" s="1">
        <v>42318</v>
      </c>
      <c r="G752" s="1">
        <v>42718</v>
      </c>
    </row>
    <row r="753">
      <c r="A753" t="str">
        <v>Gestion, droit, management</v>
      </c>
      <c r="B753" t="str">
        <v>Manager une équipe au quotidien</v>
      </c>
      <c r="C753" t="str">
        <v>Institut François Bocquet</v>
      </c>
      <c r="D753" t="str">
        <f>HYPERLINK("https://inventaire.cncp.gouv.fr/fiches/3103/","3103")</f>
        <v>3103</v>
      </c>
      <c r="E753" t="str">
        <f>HYPERLINK("http://www.intercariforef.org/formations/certification-98493.html","98493")</f>
        <v>98493</v>
      </c>
      <c r="F753" s="1">
        <v>43032</v>
      </c>
      <c r="G753" s="1">
        <v>43032</v>
      </c>
    </row>
    <row r="754">
      <c r="A754" t="str">
        <v>Gestion, droit, management</v>
      </c>
      <c r="B754" t="str">
        <v>Manager une équipe de managers</v>
      </c>
      <c r="C754" t="str">
        <v>Ecole polytechnique</v>
      </c>
      <c r="D754" t="str">
        <f>HYPERLINK("https://inventaire.cncp.gouv.fr/fiches/1058/","1058")</f>
        <v>1058</v>
      </c>
      <c r="E754" t="str">
        <f>HYPERLINK("http://www.intercariforef.org/formations/certification-86205.html","86205")</f>
        <v>86205</v>
      </c>
      <c r="F754" s="1">
        <v>42318</v>
      </c>
      <c r="G754" s="1">
        <v>42718</v>
      </c>
    </row>
    <row r="755">
      <c r="A755" t="str">
        <v>Gestion, droit, management</v>
      </c>
      <c r="B755" t="str">
        <v>Manager une équipe de proximité</v>
      </c>
      <c r="C755" t="str">
        <v>Altitude formation et conseil</v>
      </c>
      <c r="D755" t="str">
        <f>HYPERLINK("https://inventaire.cncp.gouv.fr/fiches/697/","697")</f>
        <v>697</v>
      </c>
      <c r="E755" t="str">
        <f>HYPERLINK("http://www.intercariforef.org/formations/certification-88643.html","88643")</f>
        <v>88643</v>
      </c>
      <c r="F755" s="1">
        <v>42486</v>
      </c>
      <c r="G755" s="1">
        <v>42718</v>
      </c>
    </row>
    <row r="756">
      <c r="A756" t="str">
        <v>Gestion, droit, management</v>
      </c>
      <c r="B756" t="str">
        <v>Médiation inter-entreprises</v>
      </c>
      <c r="C756" t="str">
        <v>Chambres de commerce et d'industrie (CCI), Ecole supérieure de management (ESCP Europe)</v>
      </c>
      <c r="D756" t="str">
        <f>HYPERLINK("https://inventaire.cncp.gouv.fr/fiches/1930/","1930")</f>
        <v>1930</v>
      </c>
      <c r="E756" t="str">
        <f>HYPERLINK("http://www.intercariforef.org/formations/certification-88575.html","88575")</f>
        <v>88575</v>
      </c>
      <c r="F756" s="1">
        <v>42481</v>
      </c>
      <c r="G756" s="1">
        <v>42481</v>
      </c>
    </row>
    <row r="757">
      <c r="A757" t="str">
        <v>Gestion, droit, management</v>
      </c>
      <c r="B757" t="str">
        <v>Mettre en oeuvre la révolution digitale dans son entreprise</v>
      </c>
      <c r="C757" t="str">
        <v>Unow</v>
      </c>
      <c r="D757" t="str">
        <f>HYPERLINK("https://inventaire.cncp.gouv.fr/fiches/3623/","3623")</f>
        <v>3623</v>
      </c>
      <c r="E757" t="str">
        <f>HYPERLINK("http://www.intercariforef.org/formations/certification-101241.html","101241")</f>
        <v>101241</v>
      </c>
      <c r="F757" s="1">
        <v>43255</v>
      </c>
      <c r="G757" s="1">
        <v>43279</v>
      </c>
    </row>
    <row r="758">
      <c r="A758" t="str">
        <v>Gestion, droit, management</v>
      </c>
      <c r="B758" t="str">
        <v>Mieux collaborer avec son équipe et ses interlocuteurs</v>
      </c>
      <c r="C758" t="str">
        <v>Insights France</v>
      </c>
      <c r="D758" t="str">
        <f>HYPERLINK("https://inventaire.cncp.gouv.fr/fiches/3477/","3477")</f>
        <v>3477</v>
      </c>
      <c r="E758" t="str">
        <f>HYPERLINK("http://www.intercariforef.org/formations/certification-103967.html","103967")</f>
        <v>103967</v>
      </c>
      <c r="F758" s="1">
        <v>43391</v>
      </c>
      <c r="G758" s="1">
        <v>43391</v>
      </c>
    </row>
    <row r="759">
      <c r="A759" t="str">
        <v>Gestion, droit, management</v>
      </c>
      <c r="B759" t="str">
        <v>Mode collaboratif, capitaliser sur le travail en équipe</v>
      </c>
      <c r="C759" t="str">
        <v>Moortgat</v>
      </c>
      <c r="D759" t="str">
        <f>HYPERLINK("https://inventaire.cncp.gouv.fr/fiches/2579/","2579")</f>
        <v>2579</v>
      </c>
      <c r="E759" t="str">
        <f>HYPERLINK("http://www.intercariforef.org/formations/certification-96871.html","96871")</f>
        <v>96871</v>
      </c>
      <c r="F759" s="1">
        <v>42937</v>
      </c>
      <c r="G759" s="1">
        <v>42937</v>
      </c>
    </row>
    <row r="760">
      <c r="A760" t="str">
        <v>Gestion, droit, management</v>
      </c>
      <c r="B760" t="str">
        <v>Nouveau Manager</v>
      </c>
      <c r="C760" t="str">
        <v>Communication Structure Perfectionnement (CSP - The Art of Training)</v>
      </c>
      <c r="D760" t="str">
        <f>HYPERLINK("https://inventaire.cncp.gouv.fr/fiches/2985/","2985")</f>
        <v>2985</v>
      </c>
      <c r="E760" t="str">
        <f>HYPERLINK("http://www.intercariforef.org/formations/certification-96503.html","96503")</f>
        <v>96503</v>
      </c>
      <c r="F760" s="1">
        <v>42928</v>
      </c>
      <c r="G760" s="1">
        <v>43152</v>
      </c>
    </row>
    <row r="761">
      <c r="A761" t="str">
        <v>Gestion, droit, management</v>
      </c>
      <c r="B761" t="str">
        <v>Opérer des choix professionnels en environnement complexe</v>
      </c>
      <c r="C761" t="str">
        <v>Primaveras</v>
      </c>
      <c r="D761" t="str">
        <f>HYPERLINK("https://inventaire.cncp.gouv.fr/fiches/2148/","2148")</f>
        <v>2148</v>
      </c>
      <c r="E761" t="str">
        <f>HYPERLINK("http://www.intercariforef.org/formations/certification-92147.html","92147")</f>
        <v>92147</v>
      </c>
      <c r="F761" s="1">
        <v>42667</v>
      </c>
      <c r="G761" s="1">
        <v>42667</v>
      </c>
    </row>
    <row r="762">
      <c r="A762" t="str">
        <v>Gestion, droit, management</v>
      </c>
      <c r="B762" t="str">
        <v>Optimisation de la performance opérationnelle</v>
      </c>
      <c r="C762" t="str">
        <v>Toptech</v>
      </c>
      <c r="D762" t="str">
        <f>HYPERLINK("https://inventaire.cncp.gouv.fr/fiches/2368/","2368")</f>
        <v>2368</v>
      </c>
      <c r="E762" t="str">
        <f>HYPERLINK("http://www.intercariforef.org/formations/certification-92077.html","92077")</f>
        <v>92077</v>
      </c>
      <c r="F762" s="1">
        <v>42667</v>
      </c>
      <c r="G762" s="1">
        <v>42667</v>
      </c>
    </row>
    <row r="763">
      <c r="A763" t="str">
        <v>Gestion, droit, management</v>
      </c>
      <c r="B763" t="str">
        <v>Optimiser son leadership et concevoir une stratégie en environnement complexe</v>
      </c>
      <c r="C763" t="str">
        <v>Institut européen d'administration des affaires de Fontainebleau (INSEAD)</v>
      </c>
      <c r="D763" t="str">
        <f>HYPERLINK("https://inventaire.cncp.gouv.fr/fiches/3580/","3580")</f>
        <v>3580</v>
      </c>
      <c r="E763" t="str">
        <f>HYPERLINK("http://www.intercariforef.org/formations/certification-101163.html","101163")</f>
        <v>101163</v>
      </c>
      <c r="F763" s="1">
        <v>43250</v>
      </c>
      <c r="G763" s="1">
        <v>43250</v>
      </c>
    </row>
    <row r="764">
      <c r="A764" t="str">
        <v>Gestion, droit, management</v>
      </c>
      <c r="B764" t="str">
        <v>Organiser l'entreprise agile</v>
      </c>
      <c r="C764" t="str">
        <v>Unow</v>
      </c>
      <c r="D764" t="str">
        <f>HYPERLINK("https://inventaire.cncp.gouv.fr/fiches/3624/","3624")</f>
        <v>3624</v>
      </c>
      <c r="E764" t="str">
        <f>HYPERLINK("http://www.intercariforef.org/formations/certification-101239.html","101239")</f>
        <v>101239</v>
      </c>
      <c r="F764" s="1">
        <v>43255</v>
      </c>
      <c r="G764" s="1">
        <v>43279</v>
      </c>
    </row>
    <row r="765">
      <c r="A765" t="str">
        <v>Gestion, droit, management</v>
      </c>
      <c r="B765" t="str">
        <v>Pilotage de la performance dans le secteur public (CP FFP)</v>
      </c>
      <c r="C765" t="str">
        <v>LVSN</v>
      </c>
      <c r="D765" t="str">
        <f>HYPERLINK("https://inventaire.cncp.gouv.fr/fiches/3787/","3787")</f>
        <v>3787</v>
      </c>
      <c r="E765" t="str">
        <f>HYPERLINK("http://www.intercariforef.org/formations/certification-103149.html","103149")</f>
        <v>103149</v>
      </c>
      <c r="F765" s="1">
        <v>43349</v>
      </c>
      <c r="G765" s="1">
        <v>43349</v>
      </c>
    </row>
    <row r="766">
      <c r="A766" t="str">
        <v>Gestion, droit, management</v>
      </c>
      <c r="B766" t="str">
        <v>Pilotage de prestataires</v>
      </c>
      <c r="C766" t="str">
        <v>Communication Structure Perfectionnement (CSP - The Art of Training)</v>
      </c>
      <c r="D766" t="str">
        <f>HYPERLINK("https://inventaire.cncp.gouv.fr/fiches/3251/","3251")</f>
        <v>3251</v>
      </c>
      <c r="E766" t="str">
        <f>HYPERLINK("http://www.intercariforef.org/formations/certification-99183.html","99183")</f>
        <v>99183</v>
      </c>
      <c r="F766" s="1">
        <v>43076</v>
      </c>
      <c r="G766" s="1">
        <v>43076</v>
      </c>
    </row>
    <row r="767">
      <c r="A767" t="str">
        <v>Gestion, droit, management</v>
      </c>
      <c r="B767" t="str">
        <v>Pilotage des entretiens annuels</v>
      </c>
      <c r="C767" t="str">
        <v>Altius Conseil</v>
      </c>
      <c r="D767" t="str">
        <f>HYPERLINK("https://inventaire.cncp.gouv.fr/fiches/3406/","3406")</f>
        <v>3406</v>
      </c>
      <c r="E767" t="str">
        <f>HYPERLINK("http://www.intercariforef.org/formations/certification-100157.html","100157")</f>
        <v>100157</v>
      </c>
      <c r="F767" s="1">
        <v>43154</v>
      </c>
      <c r="G767" s="1">
        <v>43154</v>
      </c>
    </row>
    <row r="768">
      <c r="A768" t="str">
        <v>Gestion, droit, management</v>
      </c>
      <c r="B768" t="str">
        <v>Pilotage des fusions-acquisitions</v>
      </c>
      <c r="C768" t="str">
        <v>Édition formation entreprise (EFE)</v>
      </c>
      <c r="D768" t="str">
        <f>HYPERLINK("https://inventaire.cncp.gouv.fr/fiches/3386/","3386")</f>
        <v>3386</v>
      </c>
      <c r="E768" t="str">
        <f>HYPERLINK("http://www.intercariforef.org/formations/certification-100173.html","100173")</f>
        <v>100173</v>
      </c>
      <c r="F768" s="1">
        <v>43154</v>
      </c>
      <c r="G768" s="1">
        <v>43392</v>
      </c>
    </row>
    <row r="769">
      <c r="A769" t="str">
        <v>Gestion, droit, management</v>
      </c>
      <c r="B769" t="str">
        <v>Piloter le processus d'acquisition d'une entreprise</v>
      </c>
      <c r="C769" t="str">
        <v>Altheo</v>
      </c>
      <c r="D769" t="str">
        <f>HYPERLINK("https://inventaire.cncp.gouv.fr/fiches/2742/","2742")</f>
        <v>2742</v>
      </c>
      <c r="E769" t="str">
        <f>HYPERLINK("http://www.intercariforef.org/formations/certification-96577.html","96577")</f>
        <v>96577</v>
      </c>
      <c r="F769" s="1">
        <v>42928</v>
      </c>
      <c r="G769" s="1">
        <v>42928</v>
      </c>
    </row>
    <row r="770">
      <c r="A770" t="str">
        <v>Gestion, droit, management</v>
      </c>
      <c r="B770" t="str">
        <v>Piloter l'innovation</v>
      </c>
      <c r="C770" t="str">
        <v>Ecole polytechnique</v>
      </c>
      <c r="D770" t="str">
        <f>HYPERLINK("https://inventaire.cncp.gouv.fr/fiches/1063/","1063")</f>
        <v>1063</v>
      </c>
      <c r="E770" t="str">
        <f>HYPERLINK("http://www.intercariforef.org/formations/certification-86921.html","86921")</f>
        <v>86921</v>
      </c>
      <c r="F770" s="1">
        <v>42383</v>
      </c>
      <c r="G770" s="1">
        <v>42718</v>
      </c>
    </row>
    <row r="771">
      <c r="A771" t="str">
        <v>Gestion, droit, management</v>
      </c>
      <c r="B771" t="str">
        <v>Piloter une action de recherche</v>
      </c>
      <c r="C771" t="str">
        <v>Ecole polytechnique</v>
      </c>
      <c r="D771" t="str">
        <f>HYPERLINK("https://inventaire.cncp.gouv.fr/fiches/1064/","1064")</f>
        <v>1064</v>
      </c>
      <c r="E771" t="str">
        <f>HYPERLINK("http://www.intercariforef.org/formations/certification-86919.html","86919")</f>
        <v>86919</v>
      </c>
      <c r="F771" s="1">
        <v>42383</v>
      </c>
      <c r="G771" s="1">
        <v>42718</v>
      </c>
    </row>
    <row r="772">
      <c r="A772" t="str">
        <v>Gestion, droit, management</v>
      </c>
      <c r="B772" t="str">
        <v>Pour intégrer le design dans la stratégie d'entreprise</v>
      </c>
      <c r="C772" t="str">
        <v>EPCC Cité du design - Ecole d'art et de design Saint-Etienne</v>
      </c>
      <c r="D772" t="str">
        <f>HYPERLINK("https://inventaire.cncp.gouv.fr/fiches/2433/","2433")</f>
        <v>2433</v>
      </c>
      <c r="E772" t="str">
        <f>HYPERLINK("http://www.intercariforef.org/formations/certification-97075.html","97075")</f>
        <v>97075</v>
      </c>
      <c r="F772" s="1">
        <v>42978</v>
      </c>
      <c r="G772" s="1">
        <v>42978</v>
      </c>
    </row>
    <row r="773">
      <c r="A773" t="str">
        <v>Gestion, droit, management</v>
      </c>
      <c r="B773" t="str">
        <v>Praticien Légal a la Protection des Données Personnelles</v>
      </c>
      <c r="C773" t="str">
        <v>Institut supérieur d'électronique de Paris (ISEP)</v>
      </c>
      <c r="D773" t="str">
        <f>HYPERLINK("https://inventaire.cncp.gouv.fr/fiches/966/","966")</f>
        <v>966</v>
      </c>
      <c r="E773" t="str">
        <f>HYPERLINK("http://www.intercariforef.org/formations/certification-85077.html","85077")</f>
        <v>85077</v>
      </c>
      <c r="F773" s="1">
        <v>42185</v>
      </c>
      <c r="G773" s="1">
        <v>42979</v>
      </c>
    </row>
    <row r="774">
      <c r="A774" t="str">
        <v>Gestion, droit, management</v>
      </c>
      <c r="B774" t="str">
        <v>Praticien technique à la protection des données personnelles</v>
      </c>
      <c r="C774" t="str">
        <v>Institut supérieur d'électronique de Paris (ISEP)</v>
      </c>
      <c r="D774" t="str">
        <f>HYPERLINK("https://inventaire.cncp.gouv.fr/fiches/972/","972")</f>
        <v>972</v>
      </c>
      <c r="E774" t="str">
        <f>HYPERLINK("http://www.intercariforef.org/formations/certification-85078.html","85078")</f>
        <v>85078</v>
      </c>
      <c r="F774" s="1">
        <v>42185</v>
      </c>
      <c r="G774" s="1">
        <v>42979</v>
      </c>
    </row>
    <row r="775">
      <c r="A775" t="str">
        <v>Gestion, droit, management</v>
      </c>
      <c r="B775" t="str">
        <v>Préparation de la paye et des déclarations associées</v>
      </c>
      <c r="C775" t="str">
        <v>Union professionnelle des professeurs, cadres et techniciens du secrétariat et de la comptabilité</v>
      </c>
      <c r="D775" t="str">
        <f>HYPERLINK("https://inventaire.cncp.gouv.fr/fiches/1455/","1455")</f>
        <v>1455</v>
      </c>
      <c r="E775" t="str">
        <f>HYPERLINK("http://www.intercariforef.org/formations/certification-87864.html","87864")</f>
        <v>87864</v>
      </c>
      <c r="F775" s="1">
        <v>42436</v>
      </c>
      <c r="G775" s="1">
        <v>42436</v>
      </c>
    </row>
    <row r="776">
      <c r="A776" t="str">
        <v>Gestion, droit, management</v>
      </c>
      <c r="B776" t="str">
        <v>PRINCE2® - Gestion de projet - Niveau Fondation</v>
      </c>
      <c r="C776" t="str">
        <v>AXELOS Limited</v>
      </c>
      <c r="D776" t="str">
        <f>HYPERLINK("https://inventaire.cncp.gouv.fr/fiches/1978/","1978")</f>
        <v>1978</v>
      </c>
      <c r="E776" t="str">
        <f>HYPERLINK("http://www.intercariforef.org/formations/certification-92099.html","92099")</f>
        <v>92099</v>
      </c>
      <c r="F776" s="1">
        <v>42667</v>
      </c>
      <c r="G776" s="1">
        <v>42667</v>
      </c>
    </row>
    <row r="777">
      <c r="A777" t="str">
        <v>Gestion, droit, management</v>
      </c>
      <c r="B777" t="str">
        <v>PRINCE2® - Gestion de projet - Niveau Praticien</v>
      </c>
      <c r="C777" t="str">
        <v>AXELOS Limited</v>
      </c>
      <c r="D777" t="str">
        <f>HYPERLINK("https://inventaire.cncp.gouv.fr/fiches/1979/","1979")</f>
        <v>1979</v>
      </c>
      <c r="E777" t="str">
        <f>HYPERLINK("http://www.intercariforef.org/formations/certification-90153.html","90153")</f>
        <v>90153</v>
      </c>
      <c r="F777" s="1">
        <v>42562</v>
      </c>
      <c r="G777" s="1">
        <v>42562</v>
      </c>
    </row>
    <row r="778">
      <c r="A778" t="str">
        <v>Gestion, droit, management</v>
      </c>
      <c r="B778" t="str">
        <v>Project management professional (professionnel en management de projet)</v>
      </c>
      <c r="C778" t="str">
        <v>PMI France</v>
      </c>
      <c r="D778" t="str">
        <f>HYPERLINK("https://inventaire.cncp.gouv.fr/fiches/1397/","1397")</f>
        <v>1397</v>
      </c>
      <c r="E778" t="str">
        <f>HYPERLINK("http://www.intercariforef.org/formations/certification-86496.html","86496")</f>
        <v>86496</v>
      </c>
      <c r="F778" s="1">
        <v>42345</v>
      </c>
      <c r="G778" s="1">
        <v>42345</v>
      </c>
    </row>
    <row r="779">
      <c r="A779" t="str">
        <v>Gestion, droit, management</v>
      </c>
      <c r="B779" t="str">
        <v>Renforcer sa posture et sa pratique de manager de proximité</v>
      </c>
      <c r="C779" t="str">
        <v>Communication Structure Perfectionnement (CSP - The Art of Training)</v>
      </c>
      <c r="D779" t="str">
        <f>HYPERLINK("https://inventaire.cncp.gouv.fr/fiches/3392/","3392")</f>
        <v>3392</v>
      </c>
      <c r="E779" t="str">
        <f>HYPERLINK("http://www.intercariforef.org/formations/certification-101181.html","101181")</f>
        <v>101181</v>
      </c>
      <c r="F779" s="1">
        <v>43250</v>
      </c>
      <c r="G779" s="1">
        <v>43250</v>
      </c>
    </row>
    <row r="780">
      <c r="A780" t="str">
        <v>Gestion, droit, management</v>
      </c>
      <c r="B780" t="str">
        <v>Repreneur d'entreprise</v>
      </c>
      <c r="C780" t="str">
        <v>CCI France - Assemblée des chambres françaises de commerce et d'industrie</v>
      </c>
      <c r="D780" t="str">
        <f>HYPERLINK("https://inventaire.cncp.gouv.fr/fiches/2674/","2674")</f>
        <v>2674</v>
      </c>
      <c r="E780" t="str">
        <f>HYPERLINK("http://www.intercariforef.org/formations/certification-94843.html","94843")</f>
        <v>94843</v>
      </c>
      <c r="F780" s="1">
        <v>42836</v>
      </c>
      <c r="G780" s="1">
        <v>42979</v>
      </c>
    </row>
    <row r="781">
      <c r="A781" t="str">
        <v>Gestion, droit, management</v>
      </c>
      <c r="B781" t="str">
        <v>Sciences Po - Executive Education - Parcours certifiant : culture économique et sociale</v>
      </c>
      <c r="C781" t="str">
        <v>Institut d'études politiques (Sciences po) de Paris</v>
      </c>
      <c r="D781" t="str">
        <f>HYPERLINK("https://inventaire.cncp.gouv.fr/fiches/1232/","1232")</f>
        <v>1232</v>
      </c>
      <c r="E781" t="str">
        <f>HYPERLINK("http://www.intercariforef.org/formations/certification-85383.html","85383")</f>
        <v>85383</v>
      </c>
      <c r="F781" s="1">
        <v>42254</v>
      </c>
      <c r="G781" s="1">
        <v>42718</v>
      </c>
    </row>
    <row r="782">
      <c r="A782" t="str">
        <v>Gestion, droit, management</v>
      </c>
      <c r="B782" t="str">
        <v>Stage de préparation à l'installation (SPI)</v>
      </c>
      <c r="C782" t="str">
        <v>Assemblée permanente des chambres de métiers et de l'artisanat</v>
      </c>
      <c r="D782" t="str">
        <f>HYPERLINK("https://inventaire.cncp.gouv.fr/fiches/22/","22")</f>
        <v>22</v>
      </c>
      <c r="E782" t="str">
        <f>HYPERLINK("http://www.intercariforef.org/formations/certification-84385.html","84385")</f>
        <v>84385</v>
      </c>
      <c r="F782" s="1">
        <v>42109</v>
      </c>
      <c r="G782" s="1">
        <v>42979</v>
      </c>
    </row>
    <row r="783">
      <c r="A783" t="str">
        <v>Gestion, droit, management</v>
      </c>
      <c r="B783" t="str">
        <v>Stimuler l'intelligence collective</v>
      </c>
      <c r="C783" t="str">
        <v>IDAE Consulting</v>
      </c>
      <c r="D783" t="str">
        <f>HYPERLINK("https://inventaire.cncp.gouv.fr/fiches/3844/","3844")</f>
        <v>3844</v>
      </c>
      <c r="E783" t="str">
        <f>HYPERLINK("http://www.intercariforef.org/formations/certification-104071.html","104071")</f>
        <v>104071</v>
      </c>
      <c r="F783" s="1">
        <v>43396</v>
      </c>
      <c r="G783" s="1">
        <v>43396</v>
      </c>
    </row>
    <row r="784">
      <c r="A784" t="str">
        <v>Gestion, droit, management</v>
      </c>
      <c r="B784" t="str">
        <v>Stratège de la transformation</v>
      </c>
      <c r="C784" t="str">
        <v>Ecole polytechnique</v>
      </c>
      <c r="D784" t="str">
        <f>HYPERLINK("https://inventaire.cncp.gouv.fr/fiches/1066/","1066")</f>
        <v>1066</v>
      </c>
      <c r="E784" t="str">
        <f>HYPERLINK("http://www.intercariforef.org/formations/certification-86208.html","86208")</f>
        <v>86208</v>
      </c>
      <c r="F784" s="1">
        <v>42318</v>
      </c>
      <c r="G784" s="1">
        <v>42718</v>
      </c>
    </row>
    <row r="785">
      <c r="A785" t="str">
        <v>Gestion, droit, management</v>
      </c>
      <c r="B785" t="str">
        <v>Stratégie financière, financement et évaluation d'entreprise</v>
      </c>
      <c r="C785" t="str">
        <v>HEC executive education</v>
      </c>
      <c r="D785" t="str">
        <f>HYPERLINK("https://inventaire.cncp.gouv.fr/fiches/3259/","3259")</f>
        <v>3259</v>
      </c>
      <c r="E785" t="str">
        <f>HYPERLINK("http://www.intercariforef.org/formations/certification-99061.html","99061")</f>
        <v>99061</v>
      </c>
      <c r="F785" s="1">
        <v>43069</v>
      </c>
      <c r="G785" s="1">
        <v>43069</v>
      </c>
    </row>
    <row r="786">
      <c r="A786" t="str">
        <v>Gestion, droit, management</v>
      </c>
      <c r="B786" t="str">
        <v>Stratégie pour l'exportation et l'internationalisation des PME</v>
      </c>
      <c r="C786" t="str">
        <v>Stratexio</v>
      </c>
      <c r="D786" t="str">
        <f>HYPERLINK("https://inventaire.cncp.gouv.fr/fiches/3051/","3051")</f>
        <v>3051</v>
      </c>
      <c r="E786" t="str">
        <f>HYPERLINK("http://www.intercariforef.org/formations/certification-96465.html","96465")</f>
        <v>96465</v>
      </c>
      <c r="F786" s="1">
        <v>42928</v>
      </c>
      <c r="G786" s="1">
        <v>42928</v>
      </c>
    </row>
    <row r="787">
      <c r="A787" t="str">
        <v>Gestion, droit, management</v>
      </c>
      <c r="B787" t="str">
        <v>TECODI : certification aux compétences digitales</v>
      </c>
      <c r="C787" t="str">
        <v>VISIPLUS academy</v>
      </c>
      <c r="D787" t="str">
        <f>HYPERLINK("https://inventaire.cncp.gouv.fr/fiches/3845/","3845")</f>
        <v>3845</v>
      </c>
      <c r="E787" t="str">
        <f>HYPERLINK("http://www.intercariforef.org/formations/certification-104141.html","104141")</f>
        <v>104141</v>
      </c>
      <c r="F787" s="1">
        <v>43398</v>
      </c>
      <c r="G787" s="1">
        <v>43398</v>
      </c>
    </row>
    <row r="788">
      <c r="A788" t="str">
        <v>Gestion, droit, management</v>
      </c>
      <c r="B788" t="str">
        <v>Utiliser les techniques de coaching dans l'accompagnement des individus et des équipes</v>
      </c>
      <c r="C788" t="str">
        <v>Institut de formation aux métiers de l'accompagnement</v>
      </c>
      <c r="D788" t="str">
        <f>HYPERLINK("https://inventaire.cncp.gouv.fr/fiches/3356/","3356")</f>
        <v>3356</v>
      </c>
      <c r="E788" t="str">
        <f>HYPERLINK("http://www.intercariforef.org/formations/certification-101183.html","101183")</f>
        <v>101183</v>
      </c>
      <c r="F788" s="1">
        <v>43250</v>
      </c>
      <c r="G788" s="1">
        <v>43250</v>
      </c>
    </row>
    <row r="789">
      <c r="A789" t="str">
        <v>Habillement</v>
      </c>
      <c r="B789" t="str">
        <v>CAO métiers mode et textile</v>
      </c>
      <c r="C789" t="str">
        <v>CPNE de l'industrie textile, CPNE des industries de l'habillement</v>
      </c>
      <c r="D789" t="str">
        <f>HYPERLINK("https://inventaire.cncp.gouv.fr/fiches/2686/","2686")</f>
        <v>2686</v>
      </c>
      <c r="E789" t="str">
        <f>HYPERLINK("http://www.intercariforef.org/formations/certification-94975.html","94975")</f>
        <v>94975</v>
      </c>
      <c r="F789" s="1">
        <v>42838</v>
      </c>
      <c r="G789" s="1">
        <v>42838</v>
      </c>
    </row>
    <row r="790">
      <c r="A790" t="str">
        <v>Hôtellerie restauration</v>
      </c>
      <c r="B790" t="str">
        <v>Certificat de cuisinier de navire</v>
      </c>
      <c r="C790" t="str">
        <v>Ministère de la transition écologique et solidaire</v>
      </c>
      <c r="D790" t="str">
        <f>HYPERLINK("https://inventaire.cncp.gouv.fr/fiches/894/","894")</f>
        <v>894</v>
      </c>
      <c r="E790" t="str">
        <f>HYPERLINK("http://www.intercariforef.org/formations/certification-84992.html","84992")</f>
        <v>84992</v>
      </c>
      <c r="F790" s="1">
        <v>42184</v>
      </c>
      <c r="G790" s="1">
        <v>43111</v>
      </c>
    </row>
    <row r="791">
      <c r="A791" t="str">
        <v>Hôtellerie restauration</v>
      </c>
      <c r="B791" t="str">
        <v>Cuisine et Pâtisserie de Santé®</v>
      </c>
      <c r="C791" t="str">
        <v>Institut Michel Guérard</v>
      </c>
      <c r="D791" t="str">
        <f>HYPERLINK("https://inventaire.cncp.gouv.fr/fiches/1683/","1683")</f>
        <v>1683</v>
      </c>
      <c r="E791" t="str">
        <f>HYPERLINK("http://www.intercariforef.org/formations/certification-88821.html","88821")</f>
        <v>88821</v>
      </c>
      <c r="F791" s="1">
        <v>42500</v>
      </c>
      <c r="G791" s="1">
        <v>42718</v>
      </c>
    </row>
    <row r="792" ht="26.2" customHeight="1">
      <c r="A792" t="str">
        <v>Hôtellerie restauration</v>
      </c>
      <c r="B792" t="str">
        <v>Formation spécifique en matière d'hygiène alimentaire adaptée à l'activité des établissements de restauration commerciale</v>
      </c>
      <c r="C792" t="str">
        <v>Ministère de l'agriculture et de l'alimentation</v>
      </c>
      <c r="D792" t="str">
        <f>HYPERLINK("https://inventaire.cncp.gouv.fr/fiches/898/","898")</f>
        <v>898</v>
      </c>
      <c r="E792" t="str">
        <f>HYPERLINK("http://www.intercariforef.org/formations/certification-85007.html","85007")</f>
        <v>85007</v>
      </c>
      <c r="F792" s="1">
        <v>42184</v>
      </c>
      <c r="G792" s="1">
        <v>43111</v>
      </c>
    </row>
    <row r="793">
      <c r="A793" t="str">
        <v>Immobilier</v>
      </c>
      <c r="B793" t="str">
        <v>Certification en financement de l'immobilier corporate</v>
      </c>
      <c r="C793" t="str">
        <v>Ecole nationale du financement de l'immobilier</v>
      </c>
      <c r="D793" t="str">
        <f>HYPERLINK("https://inventaire.cncp.gouv.fr/fiches/2337/","2337")</f>
        <v>2337</v>
      </c>
      <c r="E793" t="str">
        <f>HYPERLINK("http://www.intercariforef.org/formations/certification-92105.html","92105")</f>
        <v>92105</v>
      </c>
      <c r="F793" s="1">
        <v>42667</v>
      </c>
      <c r="G793" s="1">
        <v>42667</v>
      </c>
    </row>
    <row r="794">
      <c r="A794" t="str">
        <v>Immobilier</v>
      </c>
      <c r="B794" t="str">
        <v>Compétences managériales et transversales des dirigeants du logement social (DU)</v>
      </c>
      <c r="C794" t="str">
        <v>Université Paris-Dauphine</v>
      </c>
      <c r="D794" t="str">
        <f>HYPERLINK("https://inventaire.cncp.gouv.fr/fiches/3053/","3053")</f>
        <v>3053</v>
      </c>
      <c r="E794" t="str">
        <f>HYPERLINK("http://www.intercariforef.org/formations/certification-101213.html","101213")</f>
        <v>101213</v>
      </c>
      <c r="F794" s="1">
        <v>43251</v>
      </c>
      <c r="G794" s="1">
        <v>43251</v>
      </c>
    </row>
    <row r="795">
      <c r="A795" t="str">
        <v>Immobilier</v>
      </c>
      <c r="B795" t="str">
        <v>Montage d'opérations immobilières</v>
      </c>
      <c r="C795" t="str">
        <v>Édition formation entreprise (EFE)</v>
      </c>
      <c r="D795" t="str">
        <f>HYPERLINK("https://inventaire.cncp.gouv.fr/fiches/2841/","2841")</f>
        <v>2841</v>
      </c>
      <c r="E795" t="str">
        <f>HYPERLINK("http://www.intercariforef.org/formations/certification-98595.html","98595")</f>
        <v>98595</v>
      </c>
      <c r="F795" s="1">
        <v>43038</v>
      </c>
      <c r="G795" s="1">
        <v>43392</v>
      </c>
    </row>
    <row r="796">
      <c r="A796" t="str">
        <v>Industrie graphique imprimerie</v>
      </c>
      <c r="B796" t="str">
        <v>Adobe Illustrator (certification officielle éditeur)</v>
      </c>
      <c r="C796" t="str">
        <v>Adobe</v>
      </c>
      <c r="D796" t="str">
        <f>HYPERLINK("https://inventaire.cncp.gouv.fr/fiches/1548/","1548")</f>
        <v>1548</v>
      </c>
      <c r="E796" t="str">
        <f>HYPERLINK("http://www.intercariforef.org/formations/certification-86426.html","86426")</f>
        <v>86426</v>
      </c>
      <c r="F796" s="1">
        <v>42341</v>
      </c>
      <c r="G796" s="1">
        <v>42979</v>
      </c>
    </row>
    <row r="797">
      <c r="A797" t="str">
        <v>Industrie graphique imprimerie</v>
      </c>
      <c r="B797" t="str">
        <v>Adobe InDesign (certification officielle éditeur)</v>
      </c>
      <c r="C797" t="str">
        <v>Adobe</v>
      </c>
      <c r="D797" t="str">
        <f>HYPERLINK("https://inventaire.cncp.gouv.fr/fiches/1549/","1549")</f>
        <v>1549</v>
      </c>
      <c r="E797" t="str">
        <f>HYPERLINK("http://www.intercariforef.org/formations/certification-86413.html","86413")</f>
        <v>86413</v>
      </c>
      <c r="F797" s="1">
        <v>42340</v>
      </c>
      <c r="G797" s="1">
        <v>42979</v>
      </c>
    </row>
    <row r="798">
      <c r="A798" t="str">
        <v>Industrie graphique imprimerie</v>
      </c>
      <c r="B798" t="str">
        <v>Adobe Photoshop (certification officielle éditeur)</v>
      </c>
      <c r="C798" t="str">
        <v>Adobe</v>
      </c>
      <c r="D798" t="str">
        <f>HYPERLINK("https://inventaire.cncp.gouv.fr/fiches/1545/","1545")</f>
        <v>1545</v>
      </c>
      <c r="E798" t="str">
        <f>HYPERLINK("http://www.intercariforef.org/formations/certification-86425.html","86425")</f>
        <v>86425</v>
      </c>
      <c r="F798" s="1">
        <v>42341</v>
      </c>
      <c r="G798" s="1">
        <v>42979</v>
      </c>
    </row>
    <row r="799">
      <c r="A799" t="str">
        <v>Industrie graphique imprimerie</v>
      </c>
      <c r="B799" t="str">
        <v>Certificat de maîtrise des fondamentaux de l'animation avec After Effects</v>
      </c>
      <c r="C799" t="str">
        <v>Pyramyd NTCV</v>
      </c>
      <c r="D799" t="str">
        <f>HYPERLINK("https://inventaire.cncp.gouv.fr/fiches/3328/","3328")</f>
        <v>3328</v>
      </c>
      <c r="E799" t="str">
        <f>HYPERLINK("http://www.intercariforef.org/formations/certification-100399.html","100399")</f>
        <v>100399</v>
      </c>
      <c r="F799" s="1">
        <v>43173</v>
      </c>
      <c r="G799" s="1">
        <v>43173</v>
      </c>
    </row>
    <row r="800">
      <c r="A800" t="str">
        <v>Industrie graphique imprimerie</v>
      </c>
      <c r="B800" t="str">
        <v>Design Graphique</v>
      </c>
      <c r="C800" t="str">
        <v>M2I Formation</v>
      </c>
      <c r="D800" t="str">
        <f>HYPERLINK("https://inventaire.cncp.gouv.fr/fiches/2829/","2829")</f>
        <v>2829</v>
      </c>
      <c r="E800" t="str">
        <f>HYPERLINK("http://www.intercariforef.org/formations/certification-95425.html","95425")</f>
        <v>95425</v>
      </c>
      <c r="F800" s="1">
        <v>42884</v>
      </c>
      <c r="G800" s="1">
        <v>42884</v>
      </c>
    </row>
    <row r="801">
      <c r="A801" t="str">
        <v>Industrie graphique imprimerie</v>
      </c>
      <c r="B801" t="str">
        <v>Graphisme - Fondamentaux et bases techniques (CP FFP)</v>
      </c>
      <c r="C801" t="str">
        <v>Créa image communication</v>
      </c>
      <c r="D801" t="str">
        <f>HYPERLINK("https://inventaire.cncp.gouv.fr/fiches/3728/","3728")</f>
        <v>3728</v>
      </c>
      <c r="E801" t="str">
        <f>HYPERLINK("http://www.intercariforef.org/formations/certification-102465.html","102465")</f>
        <v>102465</v>
      </c>
      <c r="F801" s="1">
        <v>43298</v>
      </c>
      <c r="G801" s="1">
        <v>43298</v>
      </c>
    </row>
    <row r="802">
      <c r="A802" t="str">
        <v>Industrie graphique imprimerie</v>
      </c>
      <c r="B802" t="str">
        <v>Graphisme 3D sur Cinema 4D - fondamentaux et bases techniques - (CP FFP)</v>
      </c>
      <c r="C802" t="str">
        <v>Créa image communication</v>
      </c>
      <c r="D802" t="str">
        <f>HYPERLINK("https://inventaire.cncp.gouv.fr/fiches/1555/","1555")</f>
        <v>1555</v>
      </c>
      <c r="E802" t="str">
        <f>HYPERLINK("http://www.intercariforef.org/formations/certification-87681.html","87681")</f>
        <v>87681</v>
      </c>
      <c r="F802" s="1">
        <v>42418</v>
      </c>
      <c r="G802" s="1">
        <v>42418</v>
      </c>
    </row>
    <row r="803">
      <c r="A803" t="str">
        <v>Industrie graphique imprimerie</v>
      </c>
      <c r="B803" t="str">
        <v>Infographie plurimédia</v>
      </c>
      <c r="C803" t="str">
        <v>CEGEFOS</v>
      </c>
      <c r="D803" t="str">
        <f>HYPERLINK("https://inventaire.cncp.gouv.fr/fiches/2228/","2228")</f>
        <v>2228</v>
      </c>
      <c r="E803" t="str">
        <f>HYPERLINK("http://www.intercariforef.org/formations/certification-92089.html","92089")</f>
        <v>92089</v>
      </c>
      <c r="F803" s="1">
        <v>42667</v>
      </c>
      <c r="G803" s="1">
        <v>42667</v>
      </c>
    </row>
    <row r="804">
      <c r="A804" t="str">
        <v>Industrie graphique imprimerie</v>
      </c>
      <c r="B804" t="str">
        <v>Montages Motion Design</v>
      </c>
      <c r="C804" t="str">
        <v>M2I Formation</v>
      </c>
      <c r="D804" t="str">
        <f>HYPERLINK("https://inventaire.cncp.gouv.fr/fiches/2743/","2743")</f>
        <v>2743</v>
      </c>
      <c r="E804" t="str">
        <f>HYPERLINK("http://www.intercariforef.org/formations/certification-94813.html","94813")</f>
        <v>94813</v>
      </c>
      <c r="F804" s="1">
        <v>42836</v>
      </c>
      <c r="G804" s="1">
        <v>42836</v>
      </c>
    </row>
    <row r="805">
      <c r="A805" t="str">
        <v>Industrie graphique imprimerie</v>
      </c>
      <c r="B805" t="str">
        <v>Motion design avec After Effects et Cinema 4D - Bases techniques</v>
      </c>
      <c r="C805" t="str">
        <v>Créa image communication</v>
      </c>
      <c r="D805" t="str">
        <f>HYPERLINK("https://inventaire.cncp.gouv.fr/fiches/2772/","2772")</f>
        <v>2772</v>
      </c>
      <c r="E805" t="str">
        <f>HYPERLINK("http://www.intercariforef.org/formations/certification-98545.html","98545")</f>
        <v>98545</v>
      </c>
      <c r="F805" s="1">
        <v>43034</v>
      </c>
      <c r="G805" s="1">
        <v>43034</v>
      </c>
    </row>
    <row r="806" ht="26.2" customHeight="1">
      <c r="A806" t="str">
        <v>Industrie graphique imprimerie</v>
      </c>
      <c r="B806" t="str">
        <v>Spécialisation électronique imprimée et impression fonctionnelle</v>
      </c>
      <c r="C806" t="str">
        <v>Ecole internationale du papier, de la communication imprimée et des biomatériaux (PAGORA) / Institut Polytechnique de Grenoble (Grenoble INP)</v>
      </c>
      <c r="D806" t="str">
        <f>HYPERLINK("https://inventaire.cncp.gouv.fr/fiches/1444/","1444")</f>
        <v>1444</v>
      </c>
      <c r="E806" t="str">
        <f>HYPERLINK("http://www.intercariforef.org/formations/certification-86346.html","86346")</f>
        <v>86346</v>
      </c>
      <c r="F806" s="1">
        <v>42340</v>
      </c>
      <c r="G806" s="1">
        <v>42340</v>
      </c>
    </row>
    <row r="807" ht="26.2" customHeight="1">
      <c r="A807" t="str">
        <v>Informatique</v>
      </c>
      <c r="B807" t="str">
        <v>Accompagnement à la citoyenneté numérique</v>
      </c>
      <c r="C807" t="str">
        <v>Ecole Normale Sociale, Initiatives, Institut des ressources en intervention sociale (IRIS), Institut régional du travail social de Paris</v>
      </c>
      <c r="D807" t="str">
        <f>HYPERLINK("https://inventaire.cncp.gouv.fr/fiches/3410/","3410")</f>
        <v>3410</v>
      </c>
      <c r="E807" t="str">
        <f>HYPERLINK("http://www.intercariforef.org/formations/certification-100703.html","100703")</f>
        <v>100703</v>
      </c>
      <c r="F807" s="1">
        <v>43199</v>
      </c>
      <c r="G807" s="1">
        <v>43199</v>
      </c>
    </row>
    <row r="808">
      <c r="A808" t="str">
        <v>Informatique</v>
      </c>
      <c r="B808" t="str">
        <v>Accompagnement à la mise en place d'un réservoir de données métier</v>
      </c>
      <c r="C808" t="str">
        <v>École supérieure d'assurances</v>
      </c>
      <c r="D808" t="str">
        <f>HYPERLINK("https://inventaire.cncp.gouv.fr/fiches/3389/","3389")</f>
        <v>3389</v>
      </c>
      <c r="E808" t="str">
        <f>HYPERLINK("http://www.intercariforef.org/formations/certification-100023.html","100023")</f>
        <v>100023</v>
      </c>
      <c r="F808" s="1">
        <v>43151</v>
      </c>
      <c r="G808" s="1">
        <v>43151</v>
      </c>
    </row>
    <row r="809">
      <c r="A809" t="str">
        <v>Informatique</v>
      </c>
      <c r="B809" t="str">
        <v>Administration base de données ORACLE</v>
      </c>
      <c r="C809" t="str">
        <v>CEGEFOS</v>
      </c>
      <c r="D809" t="str">
        <f>HYPERLINK("https://inventaire.cncp.gouv.fr/fiches/2236/","2236")</f>
        <v>2236</v>
      </c>
      <c r="E809" t="str">
        <f>HYPERLINK("http://www.intercariforef.org/formations/certification-93895.html","93895")</f>
        <v>93895</v>
      </c>
      <c r="F809" s="1">
        <v>42744</v>
      </c>
      <c r="G809" s="1">
        <v>42744</v>
      </c>
    </row>
    <row r="810">
      <c r="A810" t="str">
        <v>Informatique</v>
      </c>
      <c r="B810" t="str">
        <v>Administration base de données SQL Server</v>
      </c>
      <c r="C810" t="str">
        <v>CEGEFOS</v>
      </c>
      <c r="D810" t="str">
        <f>HYPERLINK("https://inventaire.cncp.gouv.fr/fiches/2235/","2235")</f>
        <v>2235</v>
      </c>
      <c r="E810" t="str">
        <f>HYPERLINK("http://www.intercariforef.org/formations/certification-94003.html","94003")</f>
        <v>94003</v>
      </c>
      <c r="F810" s="1">
        <v>42745</v>
      </c>
      <c r="G810" s="1">
        <v>42745</v>
      </c>
    </row>
    <row r="811">
      <c r="A811" t="str">
        <v>Informatique</v>
      </c>
      <c r="B811" t="str">
        <v>Administrer, transcoder et diffuser des fichiers audio-video en TV et web</v>
      </c>
      <c r="C811" t="str">
        <v>IIFA</v>
      </c>
      <c r="D811" t="str">
        <f>HYPERLINK("https://inventaire.cncp.gouv.fr/fiches/1676/","1676")</f>
        <v>1676</v>
      </c>
      <c r="E811" t="str">
        <f>HYPERLINK("http://www.intercariforef.org/formations/certification-90015.html","90015")</f>
        <v>90015</v>
      </c>
      <c r="F811" s="1">
        <v>42558</v>
      </c>
      <c r="G811" s="1">
        <v>42558</v>
      </c>
    </row>
    <row r="812">
      <c r="A812" t="str">
        <v>Informatique</v>
      </c>
      <c r="B812" t="str">
        <v>Adobe Dreamweaver (certification officielle éditeur)</v>
      </c>
      <c r="C812" t="str">
        <v>Adobe</v>
      </c>
      <c r="D812" t="str">
        <f>HYPERLINK("https://inventaire.cncp.gouv.fr/fiches/1543/","1543")</f>
        <v>1543</v>
      </c>
      <c r="E812" t="str">
        <f>HYPERLINK("http://www.intercariforef.org/formations/certification-86420.html","86420")</f>
        <v>86420</v>
      </c>
      <c r="F812" s="1">
        <v>42341</v>
      </c>
      <c r="G812" s="1">
        <v>42979</v>
      </c>
    </row>
    <row r="813">
      <c r="A813" t="str">
        <v>Informatique</v>
      </c>
      <c r="B813" t="str">
        <v>Adobe Flash (certification officielle éditeur)</v>
      </c>
      <c r="C813" t="str">
        <v>Adobe</v>
      </c>
      <c r="D813" t="str">
        <f>HYPERLINK("https://inventaire.cncp.gouv.fr/fiches/1542/","1542")</f>
        <v>1542</v>
      </c>
      <c r="E813" t="str">
        <f>HYPERLINK("http://www.intercariforef.org/formations/certification-86422.html","86422")</f>
        <v>86422</v>
      </c>
      <c r="F813" s="1">
        <v>42341</v>
      </c>
      <c r="G813" s="1">
        <v>42979</v>
      </c>
    </row>
    <row r="814">
      <c r="A814" t="str">
        <v>Informatique</v>
      </c>
      <c r="B814" t="str">
        <v>Adobe Premiere Pro (certification officielle éditeur)</v>
      </c>
      <c r="C814" t="str">
        <v>Adobe</v>
      </c>
      <c r="D814" t="str">
        <f>HYPERLINK("https://inventaire.cncp.gouv.fr/fiches/1546/","1546")</f>
        <v>1546</v>
      </c>
      <c r="E814" t="str">
        <f>HYPERLINK("http://www.intercariforef.org/formations/certification-86423.html","86423")</f>
        <v>86423</v>
      </c>
      <c r="F814" s="1">
        <v>42341</v>
      </c>
      <c r="G814" s="1">
        <v>42979</v>
      </c>
    </row>
    <row r="815">
      <c r="A815" t="str">
        <v>Informatique</v>
      </c>
      <c r="B815" t="str">
        <v>Adobe Première Pro CC : prise en main</v>
      </c>
      <c r="C815" t="str">
        <v>Institut national de l'audiovisuel (INA)</v>
      </c>
      <c r="D815" t="str">
        <f>HYPERLINK("https://inventaire.cncp.gouv.fr/fiches/3915/","3915")</f>
        <v>3915</v>
      </c>
      <c r="E815" t="str">
        <f>HYPERLINK("http://www.intercariforef.org/formations/certification-104117.html","104117")</f>
        <v>104117</v>
      </c>
      <c r="F815" s="1">
        <v>43398</v>
      </c>
      <c r="G815" s="1">
        <v>43398</v>
      </c>
    </row>
    <row r="816">
      <c r="A816" t="str">
        <v>Informatique</v>
      </c>
      <c r="B816" t="str">
        <v>After Effects - spécialisation animation et Duik</v>
      </c>
      <c r="C816" t="str">
        <v>Carpé média</v>
      </c>
      <c r="D816" t="str">
        <f>HYPERLINK("https://inventaire.cncp.gouv.fr/fiches/3112/","3112")</f>
        <v>3112</v>
      </c>
      <c r="E816" t="str">
        <f>HYPERLINK("http://www.intercariforef.org/formations/certification-99227.html","99227")</f>
        <v>99227</v>
      </c>
      <c r="F816" s="1">
        <v>43077</v>
      </c>
      <c r="G816" s="1">
        <v>43077</v>
      </c>
    </row>
    <row r="817">
      <c r="A817" t="str">
        <v>Informatique</v>
      </c>
      <c r="B817" t="str">
        <v>After effects : pratiquer l'animation 2D et 3D</v>
      </c>
      <c r="C817" t="str">
        <v>Institut national de l'audiovisuel (INA)</v>
      </c>
      <c r="D817" t="str">
        <f>HYPERLINK("https://inventaire.cncp.gouv.fr/fiches/3519/","3519")</f>
        <v>3519</v>
      </c>
      <c r="E817" t="str">
        <f>HYPERLINK("http://www.intercariforef.org/formations/certification-100641.html","100641")</f>
        <v>100641</v>
      </c>
      <c r="F817" s="1">
        <v>43194</v>
      </c>
      <c r="G817" s="1">
        <v>43195</v>
      </c>
    </row>
    <row r="818">
      <c r="A818" t="str">
        <v>Informatique</v>
      </c>
      <c r="B818" t="str">
        <v>Analyse logicielle avec UML (Niveau 1)</v>
      </c>
      <c r="C818" t="str">
        <v>OpenClassrooms</v>
      </c>
      <c r="D818" t="str">
        <f>HYPERLINK("https://inventaire.cncp.gouv.fr/fiches/1416/","1416")</f>
        <v>1416</v>
      </c>
      <c r="E818" t="str">
        <f>HYPERLINK("http://www.intercariforef.org/formations/certification-91937.html","91937")</f>
        <v>91937</v>
      </c>
      <c r="F818" s="1">
        <v>42662</v>
      </c>
      <c r="G818" s="1">
        <v>42718</v>
      </c>
    </row>
    <row r="819">
      <c r="A819" t="str">
        <v>Informatique</v>
      </c>
      <c r="B819" t="str">
        <v>Analyser les données : intégration, exploitation, visualisation, industrialisation</v>
      </c>
      <c r="C819" t="str">
        <v>ECAM Strasbourg-Europe</v>
      </c>
      <c r="D819" t="str">
        <f>HYPERLINK("https://inventaire.cncp.gouv.fr/fiches/2858/","2858")</f>
        <v>2858</v>
      </c>
      <c r="E819" t="str">
        <f>HYPERLINK("http://www.intercariforef.org/formations/certification-100203.html","100203")</f>
        <v>100203</v>
      </c>
      <c r="F819" s="1">
        <v>43154</v>
      </c>
      <c r="G819" s="1">
        <v>43154</v>
      </c>
    </row>
    <row r="820">
      <c r="A820" t="str">
        <v>Informatique</v>
      </c>
      <c r="B820" t="str">
        <v>Apple Certified Pro - Logic Pro X</v>
      </c>
      <c r="C820" t="str">
        <v>LearnQuest France</v>
      </c>
      <c r="D820" t="str">
        <f>HYPERLINK("https://inventaire.cncp.gouv.fr/fiches/3481/","3481")</f>
        <v>3481</v>
      </c>
      <c r="E820" t="str">
        <f>HYPERLINK("http://www.intercariforef.org/formations/certification-100655.html","100655")</f>
        <v>100655</v>
      </c>
      <c r="F820" s="1">
        <v>43194</v>
      </c>
      <c r="G820" s="1">
        <v>43194</v>
      </c>
    </row>
    <row r="821">
      <c r="A821" t="str">
        <v>Informatique</v>
      </c>
      <c r="B821" t="str">
        <v>Apple Certified Support Professional</v>
      </c>
      <c r="C821" t="str">
        <v>LearnQuest France</v>
      </c>
      <c r="D821" t="str">
        <f>HYPERLINK("https://inventaire.cncp.gouv.fr/fiches/3418/","3418")</f>
        <v>3418</v>
      </c>
      <c r="E821" t="str">
        <f>HYPERLINK("http://www.intercariforef.org/formations/certification-104015.html","104015")</f>
        <v>104015</v>
      </c>
      <c r="F821" s="1">
        <v>43392</v>
      </c>
      <c r="G821" s="1">
        <v>43392</v>
      </c>
    </row>
    <row r="822">
      <c r="A822" t="str">
        <v>Informatique</v>
      </c>
      <c r="B822" t="str">
        <v>Architecture cybersécurité</v>
      </c>
      <c r="C822" t="str">
        <v>Institut supérieur d'électronique de Paris (ISEP)</v>
      </c>
      <c r="D822" t="str">
        <f>HYPERLINK("https://inventaire.cncp.gouv.fr/fiches/3115/","3115")</f>
        <v>3115</v>
      </c>
      <c r="E822" t="str">
        <f>HYPERLINK("http://www.intercariforef.org/formations/certification-98497.html","98497")</f>
        <v>98497</v>
      </c>
      <c r="F822" s="1">
        <v>43032</v>
      </c>
      <c r="G822" s="1">
        <v>43032</v>
      </c>
    </row>
    <row r="823">
      <c r="A823" t="str">
        <v>Informatique</v>
      </c>
      <c r="B823" t="str">
        <v>Architecture de protocole de registres distribués Blockchain</v>
      </c>
      <c r="C823" t="str">
        <v>ERI consulting (ERI institute), Centre d'affaires Emergence</v>
      </c>
      <c r="D823" t="str">
        <f>HYPERLINK("https://inventaire.cncp.gouv.fr/fiches/2275/","2275")</f>
        <v>2275</v>
      </c>
      <c r="E823" t="str">
        <f>HYPERLINK("http://www.intercariforef.org/formations/certification-99189.html","99189")</f>
        <v>99189</v>
      </c>
      <c r="F823" s="1">
        <v>43076</v>
      </c>
      <c r="G823" s="1">
        <v>43076</v>
      </c>
    </row>
    <row r="824">
      <c r="A824" t="str">
        <v>Informatique</v>
      </c>
      <c r="B824" t="str">
        <v>Architecture en cybersécurité</v>
      </c>
      <c r="C824" t="str">
        <v>Télécom Bretagne</v>
      </c>
      <c r="D824" t="str">
        <f>HYPERLINK("https://inventaire.cncp.gouv.fr/fiches/1753/","1753")</f>
        <v>1753</v>
      </c>
      <c r="E824" t="str">
        <f>HYPERLINK("http://www.intercariforef.org/formations/certification-87577.html","87577")</f>
        <v>87577</v>
      </c>
      <c r="F824" s="1">
        <v>42412</v>
      </c>
      <c r="G824" s="1">
        <v>42718</v>
      </c>
    </row>
    <row r="825">
      <c r="A825" t="str">
        <v>Informatique</v>
      </c>
      <c r="B825" t="str">
        <v>Assistance à la maîtrise d'ouvrage</v>
      </c>
      <c r="C825" t="str">
        <v>FITEC</v>
      </c>
      <c r="D825" t="str">
        <f>HYPERLINK("https://inventaire.cncp.gouv.fr/fiches/3070/","3070")</f>
        <v>3070</v>
      </c>
      <c r="E825" t="str">
        <f>HYPERLINK("http://www.intercariforef.org/formations/certification-100189.html","100189")</f>
        <v>100189</v>
      </c>
      <c r="F825" s="1">
        <v>43154</v>
      </c>
      <c r="G825" s="1">
        <v>43154</v>
      </c>
    </row>
    <row r="826">
      <c r="A826" t="str">
        <v>Informatique</v>
      </c>
      <c r="B826" t="str">
        <v>Assistance aux activités médicales - Pratiques avancées en secrétariat médical</v>
      </c>
      <c r="C826" t="str">
        <v>Vidal Formation</v>
      </c>
      <c r="D826" t="str">
        <f>HYPERLINK("https://inventaire.cncp.gouv.fr/fiches/3393/","3393")</f>
        <v>3393</v>
      </c>
      <c r="E826" t="str">
        <f>HYPERLINK("http://www.intercariforef.org/formations/certification-100725.html","100725")</f>
        <v>100725</v>
      </c>
      <c r="F826" s="1">
        <v>43200</v>
      </c>
      <c r="G826" s="1">
        <v>43200</v>
      </c>
    </row>
    <row r="827">
      <c r="A827" t="str">
        <v>Informatique</v>
      </c>
      <c r="B827" t="str">
        <v>Assistance Informatique Utilisateurs Niveau 1</v>
      </c>
      <c r="C827" t="str">
        <v>DEMOS</v>
      </c>
      <c r="D827" t="str">
        <f>HYPERLINK("https://inventaire.cncp.gouv.fr/fiches/2585/","2585")</f>
        <v>2585</v>
      </c>
      <c r="E827" t="str">
        <f>HYPERLINK("http://www.intercariforef.org/formations/certification-95655.html","95655")</f>
        <v>95655</v>
      </c>
      <c r="F827" s="1">
        <v>42893</v>
      </c>
      <c r="G827" s="1">
        <v>42893</v>
      </c>
    </row>
    <row r="828">
      <c r="A828" t="str">
        <v>Informatique</v>
      </c>
      <c r="B828" t="str">
        <v>Assistance Informatique Utilisateurs Niveau 2</v>
      </c>
      <c r="C828" t="str">
        <v>DEMOS</v>
      </c>
      <c r="D828" t="str">
        <f>HYPERLINK("https://inventaire.cncp.gouv.fr/fiches/2588/","2588")</f>
        <v>2588</v>
      </c>
      <c r="E828" t="str">
        <f>HYPERLINK("http://www.intercariforef.org/formations/certification-95653.html","95653")</f>
        <v>95653</v>
      </c>
      <c r="F828" s="1">
        <v>42893</v>
      </c>
      <c r="G828" s="1">
        <v>42893</v>
      </c>
    </row>
    <row r="829" ht="26.2" customHeight="1">
      <c r="A829" t="str">
        <v>Informatique</v>
      </c>
      <c r="B829" t="str">
        <v>Assister efficacement le chef d'entreprise BTP dans ses missions financières, juridiques et humaines</v>
      </c>
      <c r="C829" t="str">
        <v>Association pour la promotion des entreprises du bâtiment</v>
      </c>
      <c r="D829" t="str">
        <f>HYPERLINK("https://inventaire.cncp.gouv.fr/fiches/2173/","2173")</f>
        <v>2173</v>
      </c>
      <c r="E829" t="str">
        <f>HYPERLINK("http://www.intercariforef.org/formations/certification-104067.html","104067")</f>
        <v>104067</v>
      </c>
      <c r="F829" s="1">
        <v>43395</v>
      </c>
      <c r="G829" s="1">
        <v>43395</v>
      </c>
    </row>
    <row r="830">
      <c r="A830" t="str">
        <v>Informatique</v>
      </c>
      <c r="B830" t="str">
        <v>Assister un directeur</v>
      </c>
      <c r="C830" t="str">
        <v>Édition formation entreprise (EFE)</v>
      </c>
      <c r="D830" t="str">
        <f>HYPERLINK("https://inventaire.cncp.gouv.fr/fiches/2831/","2831")</f>
        <v>2831</v>
      </c>
      <c r="E830" t="str">
        <f>HYPERLINK("http://www.intercariforef.org/formations/certification-95599.html","95599")</f>
        <v>95599</v>
      </c>
      <c r="F830" s="1">
        <v>42893</v>
      </c>
      <c r="G830" s="1">
        <v>43392</v>
      </c>
    </row>
    <row r="831">
      <c r="A831" t="str">
        <v>Informatique</v>
      </c>
      <c r="B831" t="str">
        <v>Assister une Equipe ou un Manager - perfectionnement</v>
      </c>
      <c r="C831" t="str">
        <v>DEMOS</v>
      </c>
      <c r="D831" t="str">
        <f>HYPERLINK("https://inventaire.cncp.gouv.fr/fiches/2540/","2540")</f>
        <v>2540</v>
      </c>
      <c r="E831" t="str">
        <f>HYPERLINK("http://www.intercariforef.org/formations/certification-95297.html","95297")</f>
        <v>95297</v>
      </c>
      <c r="F831" s="1">
        <v>42858</v>
      </c>
      <c r="G831" s="1">
        <v>42858</v>
      </c>
    </row>
    <row r="832">
      <c r="A832" t="str">
        <v>Informatique</v>
      </c>
      <c r="B832" t="str">
        <v>Auditeur ICA sécurité de l'information</v>
      </c>
      <c r="C832" t="str">
        <v>AFNOR</v>
      </c>
      <c r="D832" t="str">
        <f>HYPERLINK("https://inventaire.cncp.gouv.fr/fiches/944/","944")</f>
        <v>944</v>
      </c>
      <c r="E832" t="str">
        <f>HYPERLINK("http://www.intercariforef.org/formations/certification-85063.html","85063")</f>
        <v>85063</v>
      </c>
      <c r="F832" s="1">
        <v>42185</v>
      </c>
      <c r="G832" s="1">
        <v>42718</v>
      </c>
    </row>
    <row r="833">
      <c r="A833" t="str">
        <v>Informatique</v>
      </c>
      <c r="B833" t="str">
        <v>Auditeur ICA services informatiques</v>
      </c>
      <c r="C833" t="str">
        <v>AFNOR</v>
      </c>
      <c r="D833" t="str">
        <f>HYPERLINK("https://inventaire.cncp.gouv.fr/fiches/943/","943")</f>
        <v>943</v>
      </c>
      <c r="E833" t="str">
        <f>HYPERLINK("http://www.intercariforef.org/formations/certification-85056.html","85056")</f>
        <v>85056</v>
      </c>
      <c r="F833" s="1">
        <v>42185</v>
      </c>
      <c r="G833" s="1">
        <v>42718</v>
      </c>
    </row>
    <row r="834">
      <c r="A834" t="str">
        <v>Informatique</v>
      </c>
      <c r="B834" t="str">
        <v>Autodesk 3ds Max (ACU certification officielle éditeur)</v>
      </c>
      <c r="C834" t="str">
        <v>Autodesk</v>
      </c>
      <c r="D834" t="str">
        <f>HYPERLINK("https://inventaire.cncp.gouv.fr/fiches/1230/","1230")</f>
        <v>1230</v>
      </c>
      <c r="E834" t="str">
        <f>HYPERLINK("http://www.intercariforef.org/formations/certification-86417.html","86417")</f>
        <v>86417</v>
      </c>
      <c r="F834" s="1">
        <v>42341</v>
      </c>
      <c r="G834" s="1">
        <v>42718</v>
      </c>
    </row>
    <row r="835">
      <c r="A835" t="str">
        <v>Informatique</v>
      </c>
      <c r="B835" t="str">
        <v>Autodesk AutoCAD (ACU certification officielle éditeur)</v>
      </c>
      <c r="C835" t="str">
        <v>Autodesk</v>
      </c>
      <c r="D835" t="str">
        <f>HYPERLINK("https://inventaire.cncp.gouv.fr/fiches/1224/","1224")</f>
        <v>1224</v>
      </c>
      <c r="E835" t="str">
        <f>HYPERLINK("http://www.intercariforef.org/formations/certification-86419.html","86419")</f>
        <v>86419</v>
      </c>
      <c r="F835" s="1">
        <v>42341</v>
      </c>
      <c r="G835" s="1">
        <v>42718</v>
      </c>
    </row>
    <row r="836">
      <c r="A836" t="str">
        <v>Informatique</v>
      </c>
      <c r="B836" t="str">
        <v>Autodesk Inventor (ACU certification officielle éditeur)</v>
      </c>
      <c r="C836" t="str">
        <v>Autodesk</v>
      </c>
      <c r="D836" t="str">
        <f>HYPERLINK("https://inventaire.cncp.gouv.fr/fiches/1227/","1227")</f>
        <v>1227</v>
      </c>
      <c r="E836" t="str">
        <f>HYPERLINK("http://www.intercariforef.org/formations/certification-87627.html","87627")</f>
        <v>87627</v>
      </c>
      <c r="F836" s="1">
        <v>42415</v>
      </c>
      <c r="G836" s="1">
        <v>42718</v>
      </c>
    </row>
    <row r="837">
      <c r="A837" t="str">
        <v>Informatique</v>
      </c>
      <c r="B837" t="str">
        <v>Autodesk Maya (ACU certification officielle éditeur)</v>
      </c>
      <c r="C837" t="str">
        <v>Autodesk</v>
      </c>
      <c r="D837" t="str">
        <f>HYPERLINK("https://inventaire.cncp.gouv.fr/fiches/1229/","1229")</f>
        <v>1229</v>
      </c>
      <c r="E837" t="str">
        <f>HYPERLINK("http://www.intercariforef.org/formations/certification-86416.html","86416")</f>
        <v>86416</v>
      </c>
      <c r="F837" s="1">
        <v>42341</v>
      </c>
      <c r="G837" s="1">
        <v>42718</v>
      </c>
    </row>
    <row r="838">
      <c r="A838" t="str">
        <v>Informatique</v>
      </c>
      <c r="B838" t="str">
        <v>AWS Certified Developer Associate</v>
      </c>
      <c r="C838" t="str">
        <v>Amazon Support Services France</v>
      </c>
      <c r="D838" t="str">
        <f>HYPERLINK("https://inventaire.cncp.gouv.fr/fiches/2587/","2587")</f>
        <v>2587</v>
      </c>
      <c r="E838" t="str">
        <f>HYPERLINK("http://www.intercariforef.org/formations/certification-95235.html","95235")</f>
        <v>95235</v>
      </c>
      <c r="F838" s="1">
        <v>42851</v>
      </c>
      <c r="G838" s="1">
        <v>42851</v>
      </c>
    </row>
    <row r="839">
      <c r="A839" t="str">
        <v>Informatique</v>
      </c>
      <c r="B839" t="str">
        <v>AWS Certified Solutions Architect Associate</v>
      </c>
      <c r="C839" t="str">
        <v>Amazon Support Services France</v>
      </c>
      <c r="D839" t="str">
        <f>HYPERLINK("https://inventaire.cncp.gouv.fr/fiches/2541/","2541")</f>
        <v>2541</v>
      </c>
      <c r="E839" t="str">
        <f>HYPERLINK("http://www.intercariforef.org/formations/certification-97085.html","97085")</f>
        <v>97085</v>
      </c>
      <c r="F839" s="1">
        <v>42978</v>
      </c>
      <c r="G839" s="1">
        <v>42978</v>
      </c>
    </row>
    <row r="840">
      <c r="A840" t="str">
        <v>Informatique</v>
      </c>
      <c r="B840" t="str">
        <v>AWS Certified Solutions Architect Professional</v>
      </c>
      <c r="C840" t="str">
        <v>Amazon Support Services France</v>
      </c>
      <c r="D840" t="str">
        <f>HYPERLINK("https://inventaire.cncp.gouv.fr/fiches/2590/","2590")</f>
        <v>2590</v>
      </c>
      <c r="E840" t="str">
        <f>HYPERLINK("http://www.intercariforef.org/formations/certification-95233.html","95233")</f>
        <v>95233</v>
      </c>
      <c r="F840" s="1">
        <v>42851</v>
      </c>
      <c r="G840" s="1">
        <v>42851</v>
      </c>
    </row>
    <row r="841">
      <c r="A841" t="str">
        <v>Informatique</v>
      </c>
      <c r="B841" t="str">
        <v>AWS Certified SysOps Administrator Associate</v>
      </c>
      <c r="C841" t="str">
        <v>Amazon Support Services France</v>
      </c>
      <c r="D841" t="str">
        <f>HYPERLINK("https://inventaire.cncp.gouv.fr/fiches/2589/","2589")</f>
        <v>2589</v>
      </c>
      <c r="E841" t="str">
        <f>HYPERLINK("http://www.intercariforef.org/formations/certification-96621.html","96621")</f>
        <v>96621</v>
      </c>
      <c r="F841" s="1">
        <v>42929</v>
      </c>
      <c r="G841" s="1">
        <v>42929</v>
      </c>
    </row>
    <row r="842">
      <c r="A842" t="str">
        <v>Informatique</v>
      </c>
      <c r="B842" t="str">
        <v>Big Data : récolte et analyse de données volumineuses</v>
      </c>
      <c r="C842" t="str">
        <v>CEGEFOS</v>
      </c>
      <c r="D842" t="str">
        <f>HYPERLINK("https://inventaire.cncp.gouv.fr/fiches/2234/","2234")</f>
        <v>2234</v>
      </c>
      <c r="E842" t="str">
        <f>HYPERLINK("http://www.intercariforef.org/formations/certification-93835.html","93835")</f>
        <v>93835</v>
      </c>
      <c r="F842" s="1">
        <v>42740</v>
      </c>
      <c r="G842" s="1">
        <v>42740</v>
      </c>
    </row>
    <row r="843">
      <c r="A843" t="str">
        <v>Informatique</v>
      </c>
      <c r="B843" t="str">
        <v>Big Data et processus décisionnel</v>
      </c>
      <c r="C843" t="str">
        <v>FITEC</v>
      </c>
      <c r="D843" t="str">
        <f>HYPERLINK("https://inventaire.cncp.gouv.fr/fiches/3067/","3067")</f>
        <v>3067</v>
      </c>
      <c r="E843" t="str">
        <f>HYPERLINK("http://www.intercariforef.org/formations/certification-98489.html","98489")</f>
        <v>98489</v>
      </c>
      <c r="F843" s="1">
        <v>43032</v>
      </c>
      <c r="G843" s="1">
        <v>43032</v>
      </c>
    </row>
    <row r="844">
      <c r="A844" t="str">
        <v>Informatique</v>
      </c>
      <c r="B844" t="str">
        <v>Brevet informatique et internet (B2i) collège</v>
      </c>
      <c r="C844" t="str">
        <v>Ministère de l'éducation nationale</v>
      </c>
      <c r="D844" t="str">
        <v>99999</v>
      </c>
      <c r="E844" t="str">
        <f>HYPERLINK("http://www.intercariforef.org/formations/certification-81515.html","81515")</f>
        <v>81515</v>
      </c>
      <c r="F844" s="1">
        <v>41514</v>
      </c>
      <c r="G844" s="1">
        <v>42718</v>
      </c>
    </row>
    <row r="845">
      <c r="A845" t="str">
        <v>Informatique</v>
      </c>
      <c r="B845" t="str">
        <v>Brevet informatique et internet (B2i) école</v>
      </c>
      <c r="C845" t="str">
        <v>Ministère de l'éducation nationale</v>
      </c>
      <c r="D845" t="str">
        <v>99999</v>
      </c>
      <c r="E845" t="str">
        <f>HYPERLINK("http://www.intercariforef.org/formations/certification-81512.html","81512")</f>
        <v>81512</v>
      </c>
      <c r="F845" s="1">
        <v>41514</v>
      </c>
      <c r="G845" s="1">
        <v>42718</v>
      </c>
    </row>
    <row r="846">
      <c r="A846" t="str">
        <v>Informatique</v>
      </c>
      <c r="B846" t="str">
        <v>Brevet informatique et internet (B2i) lycée</v>
      </c>
      <c r="C846" t="str">
        <v>Ministère de l'éducation nationale</v>
      </c>
      <c r="D846" t="str">
        <v>99999</v>
      </c>
      <c r="E846" t="str">
        <f>HYPERLINK("http://www.intercariforef.org/formations/certification-81519.html","81519")</f>
        <v>81519</v>
      </c>
      <c r="F846" s="1">
        <v>41514</v>
      </c>
      <c r="G846" s="1">
        <v>42718</v>
      </c>
    </row>
    <row r="847">
      <c r="A847" t="str">
        <v>Informatique</v>
      </c>
      <c r="B847" t="str">
        <v>Brevet informatique et Internet pour adultes (B2I adultes)</v>
      </c>
      <c r="C847" t="str">
        <v>Ministère de l'éducation nationale</v>
      </c>
      <c r="D847" t="str">
        <f>HYPERLINK("https://inventaire.cncp.gouv.fr/fiches/345/","345")</f>
        <v>345</v>
      </c>
      <c r="E847" t="str">
        <f>HYPERLINK("http://www.intercariforef.org/formations/certification-84414.html","84414")</f>
        <v>84414</v>
      </c>
      <c r="F847" s="1">
        <v>42109</v>
      </c>
      <c r="G847" s="1">
        <v>42718</v>
      </c>
    </row>
    <row r="848">
      <c r="A848" t="str">
        <v>Informatique</v>
      </c>
      <c r="B848" t="str">
        <v>C_ACT - SAP Certified Associate - SAP Activate Project Manager</v>
      </c>
      <c r="C848" t="str">
        <v>SAP France</v>
      </c>
      <c r="D848" t="str">
        <f>HYPERLINK("https://inventaire.cncp.gouv.fr/fiches/2505/","2505")</f>
        <v>2505</v>
      </c>
      <c r="E848" t="str">
        <f>HYPERLINK("http://www.intercariforef.org/formations/certification-94919.html","94919")</f>
        <v>94919</v>
      </c>
      <c r="F848" s="1">
        <v>42837</v>
      </c>
      <c r="G848" s="1">
        <v>42837</v>
      </c>
    </row>
    <row r="849">
      <c r="A849" t="str">
        <v>Informatique</v>
      </c>
      <c r="B849" t="str">
        <v>C_AR_CONT - SAP Certified Application Associate - Ariba Contract Management</v>
      </c>
      <c r="C849" t="str">
        <v>SAP France</v>
      </c>
      <c r="D849" t="str">
        <f>HYPERLINK("https://inventaire.cncp.gouv.fr/fiches/3140/","3140")</f>
        <v>3140</v>
      </c>
      <c r="E849" t="str">
        <f>HYPERLINK("http://www.intercariforef.org/formations/certification-100129.html","100129")</f>
        <v>100129</v>
      </c>
      <c r="F849" s="1">
        <v>43153</v>
      </c>
      <c r="G849" s="1">
        <v>43153</v>
      </c>
    </row>
    <row r="850">
      <c r="A850" t="str">
        <v>Informatique</v>
      </c>
      <c r="B850" t="str">
        <v>C_AR_P2P - SAP Certified Application Associate - Ariba Procure-to-Pay (P2P)</v>
      </c>
      <c r="C850" t="str">
        <v>SAP France</v>
      </c>
      <c r="D850" t="str">
        <f>HYPERLINK("https://inventaire.cncp.gouv.fr/fiches/3141/","3141")</f>
        <v>3141</v>
      </c>
      <c r="E850" t="str">
        <f>HYPERLINK("http://www.intercariforef.org/formations/certification-100127.html","100127")</f>
        <v>100127</v>
      </c>
      <c r="F850" s="1">
        <v>43153</v>
      </c>
      <c r="G850" s="1">
        <v>43153</v>
      </c>
    </row>
    <row r="851" ht="26.2" customHeight="1">
      <c r="A851" t="str">
        <v>Informatique</v>
      </c>
      <c r="B851" t="str">
        <v>C_AUDSEC - SAP Certified Technology Associate - SAP Authorization and Auditing for SAP NetWeaver</v>
      </c>
      <c r="C851" t="str">
        <v>SAP France</v>
      </c>
      <c r="D851" t="str">
        <f>HYPERLINK("https://inventaire.cncp.gouv.fr/fiches/472/","472")</f>
        <v>472</v>
      </c>
      <c r="E851" t="str">
        <f>HYPERLINK("http://www.intercariforef.org/formations/certification-85792.html","85792")</f>
        <v>85792</v>
      </c>
      <c r="F851" s="1">
        <v>42279</v>
      </c>
      <c r="G851" s="1">
        <v>42718</v>
      </c>
    </row>
    <row r="852" ht="26.2" customHeight="1">
      <c r="A852" t="str">
        <v>Informatique</v>
      </c>
      <c r="B852" t="str">
        <v>C_BOBIP - SAP Certified Application Associate - SAP BusinessObjects Business Intelligence Platform</v>
      </c>
      <c r="C852" t="str">
        <v>SAP France</v>
      </c>
      <c r="D852" t="str">
        <f>HYPERLINK("https://inventaire.cncp.gouv.fr/fiches/84/","84")</f>
        <v>84</v>
      </c>
      <c r="E852" t="str">
        <f>HYPERLINK("http://www.intercariforef.org/formations/certification-84539.html","84539")</f>
        <v>84539</v>
      </c>
      <c r="F852" s="1">
        <v>42114</v>
      </c>
      <c r="G852" s="1">
        <v>42718</v>
      </c>
    </row>
    <row r="853">
      <c r="A853" t="str">
        <v>Informatique</v>
      </c>
      <c r="B853" t="str">
        <v>C_BOCR - SAP Certified Application Associate - SAP Crystal Reports</v>
      </c>
      <c r="C853" t="str">
        <v>SAP France</v>
      </c>
      <c r="D853" t="str">
        <f>HYPERLINK("https://inventaire.cncp.gouv.fr/fiches/689/","689")</f>
        <v>689</v>
      </c>
      <c r="E853" t="str">
        <f>HYPERLINK("http://www.intercariforef.org/formations/certification-86214.html","86214")</f>
        <v>86214</v>
      </c>
      <c r="F853" s="1">
        <v>42320</v>
      </c>
      <c r="G853" s="1">
        <v>42718</v>
      </c>
    </row>
    <row r="854">
      <c r="A854" t="str">
        <v>Informatique</v>
      </c>
      <c r="B854" t="str">
        <v>C_BOWI - SAP Certified Application Associate - SAP BusinessObjects Web Intelligence</v>
      </c>
      <c r="C854" t="str">
        <v>SAP France</v>
      </c>
      <c r="D854" t="str">
        <f>HYPERLINK("https://inventaire.cncp.gouv.fr/fiches/79/","79")</f>
        <v>79</v>
      </c>
      <c r="E854" t="str">
        <f>HYPERLINK("http://www.intercariforef.org/formations/certification-84527.html","84527")</f>
        <v>84527</v>
      </c>
      <c r="F854" s="1">
        <v>42114</v>
      </c>
      <c r="G854" s="1">
        <v>42718</v>
      </c>
    </row>
    <row r="855">
      <c r="A855" t="str">
        <v>Informatique</v>
      </c>
      <c r="B855" t="str">
        <v>C_DS - SAP Certified Application Associate - Data Integration with SAP Data Services</v>
      </c>
      <c r="C855" t="str">
        <v>SAP France</v>
      </c>
      <c r="D855" t="str">
        <f>HYPERLINK("https://inventaire.cncp.gouv.fr/fiches/692/","692")</f>
        <v>692</v>
      </c>
      <c r="E855" t="str">
        <f>HYPERLINK("http://www.intercariforef.org/formations/certification-85793.html","85793")</f>
        <v>85793</v>
      </c>
      <c r="F855" s="1">
        <v>42279</v>
      </c>
      <c r="G855" s="1">
        <v>42718</v>
      </c>
    </row>
    <row r="856">
      <c r="A856" t="str">
        <v>Informatique</v>
      </c>
      <c r="B856" t="str">
        <v>C_E2E100 - SAP Certified Technology Associate - SAP Solution Manager (Root Cause Analysis)</v>
      </c>
      <c r="C856" t="str">
        <v>SAP France</v>
      </c>
      <c r="D856" t="str">
        <f>HYPERLINK("https://inventaire.cncp.gouv.fr/fiches/379/","379")</f>
        <v>379</v>
      </c>
      <c r="E856" t="str">
        <f>HYPERLINK("http://www.intercariforef.org/formations/certification-85791.html","85791")</f>
        <v>85791</v>
      </c>
      <c r="F856" s="1">
        <v>42279</v>
      </c>
      <c r="G856" s="1">
        <v>42718</v>
      </c>
    </row>
    <row r="857">
      <c r="A857" t="str">
        <v>Informatique</v>
      </c>
      <c r="B857" t="str">
        <v>C_E2E200 - Change Control Management Expert - SAP E2E Solution Operations</v>
      </c>
      <c r="C857" t="str">
        <v>SAP France</v>
      </c>
      <c r="D857" t="str">
        <f>HYPERLINK("https://inventaire.cncp.gouv.fr/fiches/711/","711")</f>
        <v>711</v>
      </c>
      <c r="E857" t="str">
        <f>HYPERLINK("http://www.intercariforef.org/formations/certification-85804.html","85804")</f>
        <v>85804</v>
      </c>
      <c r="F857" s="1">
        <v>42282</v>
      </c>
      <c r="G857" s="1">
        <v>42718</v>
      </c>
    </row>
    <row r="858" ht="26.2" customHeight="1">
      <c r="A858" t="str">
        <v>Informatique</v>
      </c>
      <c r="B858" t="str">
        <v>C_E2E300 - SAP Certified Technology Associate - Business Process Monitoring for SAP Solution Manager</v>
      </c>
      <c r="C858" t="str">
        <v>SAP France</v>
      </c>
      <c r="D858" t="str">
        <f>HYPERLINK("https://inventaire.cncp.gouv.fr/fiches/502/","502")</f>
        <v>502</v>
      </c>
      <c r="E858" t="str">
        <f>HYPERLINK("http://www.intercariforef.org/formations/certification-85798.html","85798")</f>
        <v>85798</v>
      </c>
      <c r="F858" s="1">
        <v>42279</v>
      </c>
      <c r="G858" s="1">
        <v>42718</v>
      </c>
    </row>
    <row r="859">
      <c r="A859" t="str">
        <v>Informatique</v>
      </c>
      <c r="B859" t="str">
        <v>C_EP - SAP Certified Technology Associate - NetWeaver Portal</v>
      </c>
      <c r="C859" t="str">
        <v>SAP France</v>
      </c>
      <c r="D859" t="str">
        <f>HYPERLINK("https://inventaire.cncp.gouv.fr/fiches/504/","504")</f>
        <v>504</v>
      </c>
      <c r="E859" t="str">
        <f>HYPERLINK("http://www.intercariforef.org/formations/certification-85790.html","85790")</f>
        <v>85790</v>
      </c>
      <c r="F859" s="1">
        <v>42279</v>
      </c>
      <c r="G859" s="1">
        <v>42718</v>
      </c>
    </row>
    <row r="860" ht="26.2" customHeight="1">
      <c r="A860" t="str">
        <v>Informatique</v>
      </c>
      <c r="B860" t="str">
        <v>C_EPMBPC - SAP Certified Application Associate - SAP BusinessObjects Planning and Consolidation</v>
      </c>
      <c r="C860" t="str">
        <v>SAP France</v>
      </c>
      <c r="D860" t="str">
        <f>HYPERLINK("https://inventaire.cncp.gouv.fr/fiches/351/","351")</f>
        <v>351</v>
      </c>
      <c r="E860" t="str">
        <f>HYPERLINK("http://www.intercariforef.org/formations/certification-85815.html","85815")</f>
        <v>85815</v>
      </c>
      <c r="F860" s="1">
        <v>42282</v>
      </c>
      <c r="G860" s="1">
        <v>42718</v>
      </c>
    </row>
    <row r="861">
      <c r="A861" t="str">
        <v>Informatique</v>
      </c>
      <c r="B861" t="str">
        <v>C_EWM - SAP Certified Application Associate - SAP Extended Warehouse Management</v>
      </c>
      <c r="C861" t="str">
        <v>SAP France</v>
      </c>
      <c r="D861" t="str">
        <f>HYPERLINK("https://inventaire.cncp.gouv.fr/fiches/498/","498")</f>
        <v>498</v>
      </c>
      <c r="E861" t="str">
        <f>HYPERLINK("http://www.intercariforef.org/formations/certification-85759.html","85759")</f>
        <v>85759</v>
      </c>
      <c r="F861" s="1">
        <v>42278</v>
      </c>
      <c r="G861" s="1">
        <v>42718</v>
      </c>
    </row>
    <row r="862">
      <c r="A862" t="str">
        <v>Informatique</v>
      </c>
      <c r="B862" t="str">
        <v>C_FIORDEV - SAP Certified Development Associate - SAP Fiori Application Developer</v>
      </c>
      <c r="C862" t="str">
        <v>SAP France</v>
      </c>
      <c r="D862" t="str">
        <f>HYPERLINK("https://inventaire.cncp.gouv.fr/fiches/3135/","3135")</f>
        <v>3135</v>
      </c>
      <c r="E862" t="str">
        <f>HYPERLINK("http://www.intercariforef.org/formations/certification-100133.html","100133")</f>
        <v>100133</v>
      </c>
      <c r="F862" s="1">
        <v>43153</v>
      </c>
      <c r="G862" s="1">
        <v>43153</v>
      </c>
    </row>
    <row r="863">
      <c r="A863" t="str">
        <v>Informatique</v>
      </c>
      <c r="B863" t="str">
        <v>C_GRCAC - SAP Certified Associate - Access Control with SBO GRC</v>
      </c>
      <c r="C863" t="str">
        <v>SAP France</v>
      </c>
      <c r="D863" t="str">
        <f>HYPERLINK("https://inventaire.cncp.gouv.fr/fiches/352/","352")</f>
        <v>352</v>
      </c>
      <c r="E863" t="str">
        <f>HYPERLINK("http://www.intercariforef.org/formations/certification-85805.html","85805")</f>
        <v>85805</v>
      </c>
      <c r="F863" s="1">
        <v>42282</v>
      </c>
      <c r="G863" s="1">
        <v>42718</v>
      </c>
    </row>
    <row r="864">
      <c r="A864" t="str">
        <v>Informatique</v>
      </c>
      <c r="B864" t="str">
        <v>C_HANADEV - Certified Development Associate - SAP HANA</v>
      </c>
      <c r="C864" t="str">
        <v>SAP France</v>
      </c>
      <c r="D864" t="str">
        <f>HYPERLINK("https://inventaire.cncp.gouv.fr/fiches/3304/","3304")</f>
        <v>3304</v>
      </c>
      <c r="E864" t="str">
        <f>HYPERLINK("http://www.intercariforef.org/formations/certification-100669.html","100669")</f>
        <v>100669</v>
      </c>
      <c r="F864" s="1">
        <v>43194</v>
      </c>
      <c r="G864" s="1">
        <v>43194</v>
      </c>
    </row>
    <row r="865">
      <c r="A865" t="str">
        <v>Informatique</v>
      </c>
      <c r="B865" t="str">
        <v>C_HANAIMP - SAP Certified Application Associate - SAP HANA</v>
      </c>
      <c r="C865" t="str">
        <v>SAP France</v>
      </c>
      <c r="D865" t="str">
        <f>HYPERLINK("https://inventaire.cncp.gouv.fr/fiches/714/","714")</f>
        <v>714</v>
      </c>
      <c r="E865" t="str">
        <f>HYPERLINK("http://www.intercariforef.org/formations/certification-85756.html","85756")</f>
        <v>85756</v>
      </c>
      <c r="F865" s="1">
        <v>42278</v>
      </c>
      <c r="G865" s="1">
        <v>42718</v>
      </c>
    </row>
    <row r="866">
      <c r="A866" t="str">
        <v>Informatique</v>
      </c>
      <c r="B866" t="str">
        <v>C_HANATEC - SAP Certified Technology Associate - SAP HANA</v>
      </c>
      <c r="C866" t="str">
        <v>SAP France</v>
      </c>
      <c r="D866" t="str">
        <f>HYPERLINK("https://inventaire.cncp.gouv.fr/fiches/49/","49")</f>
        <v>49</v>
      </c>
      <c r="E866" t="str">
        <f>HYPERLINK("http://www.intercariforef.org/formations/certification-84524.html","84524")</f>
        <v>84524</v>
      </c>
      <c r="F866" s="1">
        <v>42114</v>
      </c>
      <c r="G866" s="1">
        <v>42718</v>
      </c>
    </row>
    <row r="867">
      <c r="A867" t="str">
        <v>Informatique</v>
      </c>
      <c r="B867" t="str">
        <v>C_HCMPAY - SAP Certified Application Associate - SAP HCM Payroll with SAP ERP</v>
      </c>
      <c r="C867" t="str">
        <v>SAP France</v>
      </c>
      <c r="D867" t="str">
        <f>HYPERLINK("https://inventaire.cncp.gouv.fr/fiches/86/","86")</f>
        <v>86</v>
      </c>
      <c r="E867" t="str">
        <f>HYPERLINK("http://www.intercariforef.org/formations/certification-85776.html","85776")</f>
        <v>85776</v>
      </c>
      <c r="F867" s="1">
        <v>42278</v>
      </c>
      <c r="G867" s="1">
        <v>42718</v>
      </c>
    </row>
    <row r="868">
      <c r="A868" t="str">
        <v>Informatique</v>
      </c>
      <c r="B868" t="str">
        <v>C_HCP - SAP Certified Development Associate - SAP HANA Cloud Platform</v>
      </c>
      <c r="C868" t="str">
        <v>SAP France</v>
      </c>
      <c r="D868" t="str">
        <f>HYPERLINK("https://inventaire.cncp.gouv.fr/fiches/2840/","2840")</f>
        <v>2840</v>
      </c>
      <c r="E868" t="str">
        <f>HYPERLINK("http://www.intercariforef.org/formations/certification-96567.html","96567")</f>
        <v>96567</v>
      </c>
      <c r="F868" s="1">
        <v>42928</v>
      </c>
      <c r="G868" s="1">
        <v>42979</v>
      </c>
    </row>
    <row r="869">
      <c r="A869" t="str">
        <v>Informatique</v>
      </c>
      <c r="B869" t="str">
        <v>C_ISR - SAP Certified Application Associate - Retail with SAP ERP</v>
      </c>
      <c r="C869" t="str">
        <v>SAP France</v>
      </c>
      <c r="D869" t="str">
        <f>HYPERLINK("https://inventaire.cncp.gouv.fr/fiches/2508/","2508")</f>
        <v>2508</v>
      </c>
      <c r="E869" t="str">
        <f>HYPERLINK("http://www.intercariforef.org/formations/certification-94913.html","94913")</f>
        <v>94913</v>
      </c>
      <c r="F869" s="1">
        <v>42837</v>
      </c>
      <c r="G869" s="1">
        <v>42837</v>
      </c>
    </row>
    <row r="870">
      <c r="A870" t="str">
        <v>Informatique</v>
      </c>
      <c r="B870" t="str">
        <v>C_S4IMP - SAP Certified Technology Associate - SAP S/4HANA Implémentation</v>
      </c>
      <c r="C870" t="str">
        <v>SAP France</v>
      </c>
      <c r="D870" t="str">
        <f>HYPERLINK("https://inventaire.cncp.gouv.fr/fiches/2506/","2506")</f>
        <v>2506</v>
      </c>
      <c r="E870" t="str">
        <f>HYPERLINK("http://www.intercariforef.org/formations/certification-94917.html","94917")</f>
        <v>94917</v>
      </c>
      <c r="F870" s="1">
        <v>42837</v>
      </c>
      <c r="G870" s="1">
        <v>42837</v>
      </c>
    </row>
    <row r="871">
      <c r="A871" t="str">
        <v>Informatique</v>
      </c>
      <c r="B871" t="str">
        <v>C_SM100 - SAP Certified Technology Associate - SAP Solution Manager Configuration Expert</v>
      </c>
      <c r="C871" t="str">
        <v>SAP France</v>
      </c>
      <c r="D871" t="str">
        <f>HYPERLINK("https://inventaire.cncp.gouv.fr/fiches/78/","78")</f>
        <v>78</v>
      </c>
      <c r="E871" t="str">
        <f>HYPERLINK("http://www.intercariforef.org/formations/certification-85789.html","85789")</f>
        <v>85789</v>
      </c>
      <c r="F871" s="1">
        <v>42279</v>
      </c>
      <c r="G871" s="1">
        <v>42718</v>
      </c>
    </row>
    <row r="872" ht="26.2" customHeight="1">
      <c r="A872" t="str">
        <v>Informatique</v>
      </c>
      <c r="B872" t="str">
        <v>C_SM200 - SAP Certified Technology Associate - SAP Solution Manager Change Request Management and Service Desk Expert</v>
      </c>
      <c r="C872" t="str">
        <v>SAP France</v>
      </c>
      <c r="D872" t="str">
        <f>HYPERLINK("https://inventaire.cncp.gouv.fr/fiches/418/","418")</f>
        <v>418</v>
      </c>
      <c r="E872" t="str">
        <f>HYPERLINK("http://www.intercariforef.org/formations/certification-85788.html","85788")</f>
        <v>85788</v>
      </c>
      <c r="F872" s="1">
        <v>42279</v>
      </c>
      <c r="G872" s="1">
        <v>42718</v>
      </c>
    </row>
    <row r="873" ht="26.2" customHeight="1">
      <c r="A873" t="str">
        <v>Informatique</v>
      </c>
      <c r="B873" t="str">
        <v>C_SM300 - SAP Certified Technology Associate - Business Process &amp; Interface Monitoring for SAP Solution Manager</v>
      </c>
      <c r="C873" t="str">
        <v>SAP France</v>
      </c>
      <c r="D873" t="str">
        <f>HYPERLINK("https://inventaire.cncp.gouv.fr/fiches/500/","500")</f>
        <v>500</v>
      </c>
      <c r="E873" t="str">
        <f>HYPERLINK("http://www.intercariforef.org/formations/certification-85802.html","85802")</f>
        <v>85802</v>
      </c>
      <c r="F873" s="1">
        <v>42282</v>
      </c>
      <c r="G873" s="1">
        <v>42718</v>
      </c>
    </row>
    <row r="874">
      <c r="A874" t="str">
        <v>Informatique</v>
      </c>
      <c r="B874" t="str">
        <v>C_SRM - SAP Certified Application Associate - Supplier Relationship Management</v>
      </c>
      <c r="C874" t="str">
        <v>SAP France</v>
      </c>
      <c r="D874" t="str">
        <f>HYPERLINK("https://inventaire.cncp.gouv.fr/fiches/381/","381")</f>
        <v>381</v>
      </c>
      <c r="E874" t="str">
        <f>HYPERLINK("http://www.intercariforef.org/formations/certification-85796.html","85796")</f>
        <v>85796</v>
      </c>
      <c r="F874" s="1">
        <v>42279</v>
      </c>
      <c r="G874" s="1">
        <v>42718</v>
      </c>
    </row>
    <row r="875" ht="26.2" customHeight="1">
      <c r="A875" t="str">
        <v>Informatique</v>
      </c>
      <c r="B875" t="str">
        <v>C_TADM51 - SAP Certified Technology Associate - System Administration (Oracle DB) with SAP NetWeaver</v>
      </c>
      <c r="C875" t="str">
        <v>SAP France</v>
      </c>
      <c r="D875" t="str">
        <f>HYPERLINK("https://inventaire.cncp.gouv.fr/fiches/89/","89")</f>
        <v>89</v>
      </c>
      <c r="E875" t="str">
        <f>HYPERLINK("http://www.intercariforef.org/formations/certification-84538.html","84538")</f>
        <v>84538</v>
      </c>
      <c r="F875" s="1">
        <v>42114</v>
      </c>
      <c r="G875" s="1">
        <v>42718</v>
      </c>
    </row>
    <row r="876" ht="26.2" customHeight="1">
      <c r="A876" t="str">
        <v>Informatique</v>
      </c>
      <c r="B876" t="str">
        <v>C_TADM54 - SAP Certified Technology Associate - System Administration SAP ASE with SAP NetWeaver</v>
      </c>
      <c r="C876" t="str">
        <v>SAP France</v>
      </c>
      <c r="D876" t="str">
        <f>HYPERLINK("https://inventaire.cncp.gouv.fr/fiches/2838/","2838")</f>
        <v>2838</v>
      </c>
      <c r="E876" t="str">
        <f>HYPERLINK("http://www.intercariforef.org/formations/certification-96571.html","96571")</f>
        <v>96571</v>
      </c>
      <c r="F876" s="1">
        <v>42928</v>
      </c>
      <c r="G876" s="1">
        <v>42928</v>
      </c>
    </row>
    <row r="877" ht="26.2" customHeight="1">
      <c r="A877" t="str">
        <v>Informatique</v>
      </c>
      <c r="B877" t="str">
        <v>C_TADM55 - SAP Certified Technology Associate - System Administration (SAP HANA as a database) with SAP NetWeaver</v>
      </c>
      <c r="C877" t="str">
        <v>SAP France</v>
      </c>
      <c r="D877" t="str">
        <f>HYPERLINK("https://inventaire.cncp.gouv.fr/fiches/2839/","2839")</f>
        <v>2839</v>
      </c>
      <c r="E877" t="str">
        <f>HYPERLINK("http://www.intercariforef.org/formations/certification-96569.html","96569")</f>
        <v>96569</v>
      </c>
      <c r="F877" s="1">
        <v>42928</v>
      </c>
      <c r="G877" s="1">
        <v>42928</v>
      </c>
    </row>
    <row r="878">
      <c r="A878" t="str">
        <v>Informatique</v>
      </c>
      <c r="B878" t="str">
        <v>C_TADM70 - OS DB Migration for SAP NetWeaver</v>
      </c>
      <c r="C878" t="str">
        <v>SAP France</v>
      </c>
      <c r="D878" t="str">
        <f>HYPERLINK("https://inventaire.cncp.gouv.fr/fiches/712/","712")</f>
        <v>712</v>
      </c>
      <c r="E878" t="str">
        <f>HYPERLINK("http://www.intercariforef.org/formations/certification-85794.html","85794")</f>
        <v>85794</v>
      </c>
      <c r="F878" s="1">
        <v>42279</v>
      </c>
      <c r="G878" s="1">
        <v>42718</v>
      </c>
    </row>
    <row r="879">
      <c r="A879" t="str">
        <v>Informatique</v>
      </c>
      <c r="B879" t="str">
        <v>C_TAW12 - SAP Certified Development Associate- ABAP with SAP NetWeaver</v>
      </c>
      <c r="C879" t="str">
        <v>SAP France</v>
      </c>
      <c r="D879" t="str">
        <f>HYPERLINK("https://inventaire.cncp.gouv.fr/fiches/297/","297")</f>
        <v>297</v>
      </c>
      <c r="E879" t="str">
        <f>HYPERLINK("http://www.intercariforef.org/formations/certification-84542.html","84542")</f>
        <v>84542</v>
      </c>
      <c r="F879" s="1">
        <v>42114</v>
      </c>
      <c r="G879" s="1">
        <v>42718</v>
      </c>
    </row>
    <row r="880" ht="26.2" customHeight="1">
      <c r="A880" t="str">
        <v>Informatique</v>
      </c>
      <c r="B880" t="str">
        <v>C_TBW50H - SAP Certified Application Associate - Modeling and Data Acquisition with SAP BW on HANA</v>
      </c>
      <c r="C880" t="str">
        <v>SAP France</v>
      </c>
      <c r="D880" t="str">
        <f>HYPERLINK("https://inventaire.cncp.gouv.fr/fiches/3301/","3301")</f>
        <v>3301</v>
      </c>
      <c r="E880" t="str">
        <f>HYPERLINK("http://www.intercariforef.org/formations/certification-101195.html","101195")</f>
        <v>101195</v>
      </c>
      <c r="F880" s="1">
        <v>43250</v>
      </c>
      <c r="G880" s="1">
        <v>43250</v>
      </c>
    </row>
    <row r="881">
      <c r="A881" t="str">
        <v>Informatique</v>
      </c>
      <c r="B881" t="str">
        <v>C_TBW60 - SAP Certified Application Associate - Modeling and Data Management with SAP BW</v>
      </c>
      <c r="C881" t="str">
        <v>SAP France</v>
      </c>
      <c r="D881" t="str">
        <f>HYPERLINK("https://inventaire.cncp.gouv.fr/fiches/292/","292")</f>
        <v>292</v>
      </c>
      <c r="E881" t="str">
        <f>HYPERLINK("http://www.intercariforef.org/formations/certification-84534.html","84534")</f>
        <v>84534</v>
      </c>
      <c r="F881" s="1">
        <v>42114</v>
      </c>
      <c r="G881" s="1">
        <v>42718</v>
      </c>
    </row>
    <row r="882">
      <c r="A882" t="str">
        <v>Informatique</v>
      </c>
      <c r="B882" t="str">
        <v>C_TCRM20 - SAP Certified Application Associate - CRM Fundamentals with SAP CRM</v>
      </c>
      <c r="C882" t="str">
        <v>SAP France</v>
      </c>
      <c r="D882" t="str">
        <f>HYPERLINK("https://inventaire.cncp.gouv.fr/fiches/380/","380")</f>
        <v>380</v>
      </c>
      <c r="E882" t="str">
        <f>HYPERLINK("http://www.intercariforef.org/formations/certification-85797.html","85797")</f>
        <v>85797</v>
      </c>
      <c r="F882" s="1">
        <v>42279</v>
      </c>
      <c r="G882" s="1">
        <v>42718</v>
      </c>
    </row>
    <row r="883">
      <c r="A883" t="str">
        <v>Informatique</v>
      </c>
      <c r="B883" t="str">
        <v>C_TERP10 - SAP Certified - Associate Business Foundation and Integration with SAP ERP</v>
      </c>
      <c r="C883" t="str">
        <v>SAP France</v>
      </c>
      <c r="D883" t="str">
        <f>HYPERLINK("https://inventaire.cncp.gouv.fr/fiches/532/","532")</f>
        <v>532</v>
      </c>
      <c r="E883" t="str">
        <f>HYPERLINK("http://www.intercariforef.org/formations/certification-85803.html","85803")</f>
        <v>85803</v>
      </c>
      <c r="F883" s="1">
        <v>42282</v>
      </c>
      <c r="G883" s="1">
        <v>42718</v>
      </c>
    </row>
    <row r="884">
      <c r="A884" t="str">
        <v>Informatique</v>
      </c>
      <c r="B884" t="str">
        <v>C_TFIN22 - SAP Certified Application Associate - Management Accounting (CO) with SAP ERP</v>
      </c>
      <c r="C884" t="str">
        <v>SAP France</v>
      </c>
      <c r="D884" t="str">
        <f>HYPERLINK("https://inventaire.cncp.gouv.fr/fiches/41/","41")</f>
        <v>41</v>
      </c>
      <c r="E884" t="str">
        <f>HYPERLINK("http://www.intercariforef.org/formations/certification-84512.html","84512")</f>
        <v>84512</v>
      </c>
      <c r="F884" s="1">
        <v>42114</v>
      </c>
      <c r="G884" s="1">
        <v>42718</v>
      </c>
    </row>
    <row r="885">
      <c r="A885" t="str">
        <v>Informatique</v>
      </c>
      <c r="B885" t="str">
        <v>C_TFIN52 - SAP Certified Application Associate - Financial Accounting with SAP ERP</v>
      </c>
      <c r="C885" t="str">
        <v>SAP France</v>
      </c>
      <c r="D885" t="str">
        <f>HYPERLINK("https://inventaire.cncp.gouv.fr/fiches/6/","6")</f>
        <v>6</v>
      </c>
      <c r="E885" t="str">
        <f>HYPERLINK("http://www.intercariforef.org/formations/certification-84513.html","84513")</f>
        <v>84513</v>
      </c>
      <c r="F885" s="1">
        <v>42114</v>
      </c>
      <c r="G885" s="1">
        <v>42718</v>
      </c>
    </row>
    <row r="886">
      <c r="A886" t="str">
        <v>Informatique</v>
      </c>
      <c r="B886" t="str">
        <v>C_THR12 - SAP Certified Application Associate - Human Capital Management with SAP ERP</v>
      </c>
      <c r="C886" t="str">
        <v>SAP France</v>
      </c>
      <c r="D886" t="str">
        <f>HYPERLINK("https://inventaire.cncp.gouv.fr/fiches/85/","85")</f>
        <v>85</v>
      </c>
      <c r="E886" t="str">
        <f>HYPERLINK("http://www.intercariforef.org/formations/certification-84537.html","84537")</f>
        <v>84537</v>
      </c>
      <c r="F886" s="1">
        <v>42114</v>
      </c>
      <c r="G886" s="1">
        <v>42718</v>
      </c>
    </row>
    <row r="887">
      <c r="A887" t="str">
        <v>Informatique</v>
      </c>
      <c r="B887" t="str">
        <v>C_THR81- SAP Certified Application Associate - Cloud HCM Employee Central</v>
      </c>
      <c r="C887" t="str">
        <v>SAP France</v>
      </c>
      <c r="D887" t="str">
        <f>HYPERLINK("https://inventaire.cncp.gouv.fr/fiches/87/","87")</f>
        <v>87</v>
      </c>
      <c r="E887" t="str">
        <f>HYPERLINK("http://www.intercariforef.org/formations/certification-85774.html","85774")</f>
        <v>85774</v>
      </c>
      <c r="F887" s="1">
        <v>42278</v>
      </c>
      <c r="G887" s="1">
        <v>42718</v>
      </c>
    </row>
    <row r="888">
      <c r="A888" t="str">
        <v>Informatique</v>
      </c>
      <c r="B888" t="str">
        <v>C_THR82 - SAP Certified Application Associate - SAP SuccessFactors Performance and Goals</v>
      </c>
      <c r="C888" t="str">
        <v>SAP France</v>
      </c>
      <c r="D888" t="str">
        <f>HYPERLINK("https://inventaire.cncp.gouv.fr/fiches/2491/","2491")</f>
        <v>2491</v>
      </c>
      <c r="E888" t="str">
        <f>HYPERLINK("http://www.intercariforef.org/formations/certification-94931.html","94931")</f>
        <v>94931</v>
      </c>
      <c r="F888" s="1">
        <v>42837</v>
      </c>
      <c r="G888" s="1">
        <v>42837</v>
      </c>
    </row>
    <row r="889">
      <c r="A889" t="str">
        <v>Informatique</v>
      </c>
      <c r="B889" t="str">
        <v>C_THR83 - SAP Certified Application Associate - SAP SuccessFactors Recruitment Management</v>
      </c>
      <c r="C889" t="str">
        <v>SAP France</v>
      </c>
      <c r="D889" t="str">
        <f>HYPERLINK("https://inventaire.cncp.gouv.fr/fiches/2500/","2500")</f>
        <v>2500</v>
      </c>
      <c r="E889" t="str">
        <f>HYPERLINK("http://www.intercariforef.org/formations/certification-94929.html","94929")</f>
        <v>94929</v>
      </c>
      <c r="F889" s="1">
        <v>42837</v>
      </c>
      <c r="G889" s="1">
        <v>42837</v>
      </c>
    </row>
    <row r="890">
      <c r="A890" t="str">
        <v>Informatique</v>
      </c>
      <c r="B890" t="str">
        <v>C_THR84 - SAP Certified Application Associate - SAP SuccessFactors Recruiting Marketing</v>
      </c>
      <c r="C890" t="str">
        <v>SAP France</v>
      </c>
      <c r="D890" t="str">
        <f>HYPERLINK("https://inventaire.cncp.gouv.fr/fiches/3139/","3139")</f>
        <v>3139</v>
      </c>
      <c r="E890" t="str">
        <f>HYPERLINK("http://www.intercariforef.org/formations/certification-100131.html","100131")</f>
        <v>100131</v>
      </c>
      <c r="F890" s="1">
        <v>43153</v>
      </c>
      <c r="G890" s="1">
        <v>43153</v>
      </c>
    </row>
    <row r="891">
      <c r="A891" t="str">
        <v>Informatique</v>
      </c>
      <c r="B891" t="str">
        <v>C_THR85 - SAP Certified Application Associate - SAP SuccessFactors Succession Management</v>
      </c>
      <c r="C891" t="str">
        <v>SAP France</v>
      </c>
      <c r="D891" t="str">
        <f>HYPERLINK("https://inventaire.cncp.gouv.fr/fiches/2501/","2501")</f>
        <v>2501</v>
      </c>
      <c r="E891" t="str">
        <f>HYPERLINK("http://www.intercariforef.org/formations/certification-94927.html","94927")</f>
        <v>94927</v>
      </c>
      <c r="F891" s="1">
        <v>42837</v>
      </c>
      <c r="G891" s="1">
        <v>42837</v>
      </c>
    </row>
    <row r="892">
      <c r="A892" t="str">
        <v>Informatique</v>
      </c>
      <c r="B892" t="str">
        <v>C_THR86 - SAP SuccessFactors Compensation</v>
      </c>
      <c r="C892" t="str">
        <v>SAP France</v>
      </c>
      <c r="D892" t="str">
        <f>HYPERLINK("https://inventaire.cncp.gouv.fr/fiches/687/","687")</f>
        <v>687</v>
      </c>
      <c r="E892" t="str">
        <f>HYPERLINK("http://www.intercariforef.org/formations/certification-85763.html","85763")</f>
        <v>85763</v>
      </c>
      <c r="F892" s="1">
        <v>42278</v>
      </c>
      <c r="G892" s="1">
        <v>42718</v>
      </c>
    </row>
    <row r="893">
      <c r="A893" t="str">
        <v>Informatique</v>
      </c>
      <c r="B893" t="str">
        <v>C_THR87 - SAP Certified Application Associate - SAP SuccessFactors Variable Pay</v>
      </c>
      <c r="C893" t="str">
        <v>SAP France</v>
      </c>
      <c r="D893" t="str">
        <f>HYPERLINK("https://inventaire.cncp.gouv.fr/fiches/2502/","2502")</f>
        <v>2502</v>
      </c>
      <c r="E893" t="str">
        <f>HYPERLINK("http://www.intercariforef.org/formations/certification-94925.html","94925")</f>
        <v>94925</v>
      </c>
      <c r="F893" s="1">
        <v>42837</v>
      </c>
      <c r="G893" s="1">
        <v>42837</v>
      </c>
    </row>
    <row r="894">
      <c r="A894" t="str">
        <v>Informatique</v>
      </c>
      <c r="B894" t="str">
        <v>C_THR88 - SAP Certified Application Associate - SuccessFactors Learning</v>
      </c>
      <c r="C894" t="str">
        <v>SAP France</v>
      </c>
      <c r="D894" t="str">
        <f>HYPERLINK("https://inventaire.cncp.gouv.fr/fiches/289/","289")</f>
        <v>289</v>
      </c>
      <c r="E894" t="str">
        <f>HYPERLINK("http://www.intercariforef.org/formations/certification-88367.html","88367")</f>
        <v>88367</v>
      </c>
      <c r="F894" s="1">
        <v>42460</v>
      </c>
      <c r="G894" s="1">
        <v>42718</v>
      </c>
    </row>
    <row r="895">
      <c r="A895" t="str">
        <v>Informatique</v>
      </c>
      <c r="B895" t="str">
        <v>C_THR91 - SAP Certified Application Associate - SAP SuccessFactors Onboarding</v>
      </c>
      <c r="C895" t="str">
        <v>SAP France</v>
      </c>
      <c r="D895" t="str">
        <f>HYPERLINK("https://inventaire.cncp.gouv.fr/fiches/2503/","2503")</f>
        <v>2503</v>
      </c>
      <c r="E895" t="str">
        <f>HYPERLINK("http://www.intercariforef.org/formations/certification-94923.html","94923")</f>
        <v>94923</v>
      </c>
      <c r="F895" s="1">
        <v>42837</v>
      </c>
      <c r="G895" s="1">
        <v>42837</v>
      </c>
    </row>
    <row r="896">
      <c r="A896" t="str">
        <v>Informatique</v>
      </c>
      <c r="B896" t="str">
        <v>C_THR95 - SAP Certified Application Associate - SAP SuccessFactors Career Development Planning</v>
      </c>
      <c r="C896" t="str">
        <v>SAP France</v>
      </c>
      <c r="D896" t="str">
        <f>HYPERLINK("https://inventaire.cncp.gouv.fr/fiches/2504/","2504")</f>
        <v>2504</v>
      </c>
      <c r="E896" t="str">
        <f>HYPERLINK("http://www.intercariforef.org/formations/certification-94921.html","94921")</f>
        <v>94921</v>
      </c>
      <c r="F896" s="1">
        <v>42837</v>
      </c>
      <c r="G896" s="1">
        <v>42837</v>
      </c>
    </row>
    <row r="897" ht="26.2" customHeight="1">
      <c r="A897" t="str">
        <v>Informatique</v>
      </c>
      <c r="B897" t="str">
        <v>C_TPLM30 - SAP Certified Associate - Enterprise Asset Management (Maintenance &amp; Repair) with SAP ERP</v>
      </c>
      <c r="C897" t="str">
        <v>SAP France</v>
      </c>
      <c r="D897" t="str">
        <f>HYPERLINK("https://inventaire.cncp.gouv.fr/fiches/287/","287")</f>
        <v>287</v>
      </c>
      <c r="E897" t="str">
        <f>HYPERLINK("http://www.intercariforef.org/formations/certification-84552.html","84552")</f>
        <v>84552</v>
      </c>
      <c r="F897" s="1">
        <v>42114</v>
      </c>
      <c r="G897" s="1">
        <v>42718</v>
      </c>
    </row>
    <row r="898">
      <c r="A898" t="str">
        <v>Informatique</v>
      </c>
      <c r="B898" t="str">
        <v>C_TPLM40 - SAP Certified Application Associate - Quality Management with SAP ERP</v>
      </c>
      <c r="C898" t="str">
        <v>SAP France</v>
      </c>
      <c r="D898" t="str">
        <f>HYPERLINK("https://inventaire.cncp.gouv.fr/fiches/499/","499")</f>
        <v>499</v>
      </c>
      <c r="E898" t="str">
        <f>HYPERLINK("http://www.intercariforef.org/formations/certification-85817.html","85817")</f>
        <v>85817</v>
      </c>
      <c r="F898" s="1">
        <v>42282</v>
      </c>
      <c r="G898" s="1">
        <v>42718</v>
      </c>
    </row>
    <row r="899">
      <c r="A899" t="str">
        <v>Informatique</v>
      </c>
      <c r="B899" t="str">
        <v>C_TS410 - SAP Certified Application Associate - Integrated Business Processes in SAP S/4HANA</v>
      </c>
      <c r="C899" t="str">
        <v>SAP France</v>
      </c>
      <c r="D899" t="str">
        <f>HYPERLINK("https://inventaire.cncp.gouv.fr/fiches/3137/","3137")</f>
        <v>3137</v>
      </c>
      <c r="E899" t="str">
        <f>HYPERLINK("http://www.intercariforef.org/formations/certification-98513.html","98513")</f>
        <v>98513</v>
      </c>
      <c r="F899" s="1">
        <v>43033</v>
      </c>
      <c r="G899" s="1">
        <v>43033</v>
      </c>
    </row>
    <row r="900">
      <c r="A900" t="str">
        <v>Informatique</v>
      </c>
      <c r="B900" t="str">
        <v>C_TS450 - SAP Certified Application Associate - SAP S/4HANA Sourcing and Procurement</v>
      </c>
      <c r="C900" t="str">
        <v>SAP France</v>
      </c>
      <c r="D900" t="str">
        <f>HYPERLINK("https://inventaire.cncp.gouv.fr/fiches/3306/","3306")</f>
        <v>3306</v>
      </c>
      <c r="E900" t="str">
        <f>HYPERLINK("http://www.intercariforef.org/formations/certification-101191.html","101191")</f>
        <v>101191</v>
      </c>
      <c r="F900" s="1">
        <v>43250</v>
      </c>
      <c r="G900" s="1">
        <v>43250</v>
      </c>
    </row>
    <row r="901">
      <c r="A901" t="str">
        <v>Informatique</v>
      </c>
      <c r="B901" t="str">
        <v>C_TS460 - SAP Certified Application Associate - SAP S/4HANA Sales</v>
      </c>
      <c r="C901" t="str">
        <v>SAP France</v>
      </c>
      <c r="D901" t="str">
        <f>HYPERLINK("https://inventaire.cncp.gouv.fr/fiches/3307/","3307")</f>
        <v>3307</v>
      </c>
      <c r="E901" t="str">
        <f>HYPERLINK("http://www.intercariforef.org/formations/certification-101189.html","101189")</f>
        <v>101189</v>
      </c>
      <c r="F901" s="1">
        <v>43250</v>
      </c>
      <c r="G901" s="1">
        <v>43250</v>
      </c>
    </row>
    <row r="902">
      <c r="A902" t="str">
        <v>Informatique</v>
      </c>
      <c r="B902" t="str">
        <v>C_TS4C - SAP Certified Application Associate - SAP S/4HANA Cloud Onboarding</v>
      </c>
      <c r="C902" t="str">
        <v>SAP France</v>
      </c>
      <c r="D902" t="str">
        <f>HYPERLINK("https://inventaire.cncp.gouv.fr/fiches/3136/","3136")</f>
        <v>3136</v>
      </c>
      <c r="E902" t="str">
        <f>HYPERLINK("http://www.intercariforef.org/formations/certification-98515.html","98515")</f>
        <v>98515</v>
      </c>
      <c r="F902" s="1">
        <v>43033</v>
      </c>
      <c r="G902" s="1">
        <v>43033</v>
      </c>
    </row>
    <row r="903" ht="26.2" customHeight="1">
      <c r="A903" t="str">
        <v>Informatique</v>
      </c>
      <c r="B903" t="str">
        <v>C_TS4FI - SAP Certified Application Associate - SAP S/4HANA Finance for Financial Accounting Associates</v>
      </c>
      <c r="C903" t="str">
        <v>SAP France</v>
      </c>
      <c r="D903" t="str">
        <f>HYPERLINK("https://inventaire.cncp.gouv.fr/fiches/2507/","2507")</f>
        <v>2507</v>
      </c>
      <c r="E903" t="str">
        <f>HYPERLINK("http://www.intercariforef.org/formations/certification-94915.html","94915")</f>
        <v>94915</v>
      </c>
      <c r="F903" s="1">
        <v>42837</v>
      </c>
      <c r="G903" s="1">
        <v>42837</v>
      </c>
    </row>
    <row r="904" ht="26.2" customHeight="1">
      <c r="A904" t="str">
        <v>Informatique</v>
      </c>
      <c r="B904" t="str">
        <v>C_TSCM42 - SAP Certified Application Associate - Production - Planning &amp; Manufacturing with SAP ERP</v>
      </c>
      <c r="C904" t="str">
        <v>SAP France</v>
      </c>
      <c r="D904" t="str">
        <f>HYPERLINK("https://inventaire.cncp.gouv.fr/fiches/88/","88")</f>
        <v>88</v>
      </c>
      <c r="E904" t="str">
        <f>HYPERLINK("http://www.intercariforef.org/formations/certification-84544.html","84544")</f>
        <v>84544</v>
      </c>
      <c r="F904" s="1">
        <v>42114</v>
      </c>
      <c r="G904" s="1">
        <v>42718</v>
      </c>
    </row>
    <row r="905">
      <c r="A905" t="str">
        <v>Informatique</v>
      </c>
      <c r="B905" t="str">
        <v>C_TSCM52 - SAP Certified Application Associate - Procurement with SAP ERP</v>
      </c>
      <c r="C905" t="str">
        <v>SAP France</v>
      </c>
      <c r="D905" t="str">
        <f>HYPERLINK("https://inventaire.cncp.gouv.fr/fiches/43/","43")</f>
        <v>43</v>
      </c>
      <c r="E905" t="str">
        <f>HYPERLINK("http://www.intercariforef.org/formations/certification-84545.html","84545")</f>
        <v>84545</v>
      </c>
      <c r="F905" s="1">
        <v>42114</v>
      </c>
      <c r="G905" s="1">
        <v>42718</v>
      </c>
    </row>
    <row r="906">
      <c r="A906" t="str">
        <v>Informatique</v>
      </c>
      <c r="B906" t="str">
        <v>C_TSCM62 - SAP Certified Application Associate - Sales and Distribution with SAP ERP</v>
      </c>
      <c r="C906" t="str">
        <v>SAP France</v>
      </c>
      <c r="D906" t="str">
        <f>HYPERLINK("https://inventaire.cncp.gouv.fr/fiches/44/","44")</f>
        <v>44</v>
      </c>
      <c r="E906" t="str">
        <f>HYPERLINK("http://www.intercariforef.org/formations/certification-84521.html","84521")</f>
        <v>84521</v>
      </c>
      <c r="F906" s="1">
        <v>42114</v>
      </c>
      <c r="G906" s="1">
        <v>42718</v>
      </c>
    </row>
    <row r="907">
      <c r="A907" t="str">
        <v>Informatique</v>
      </c>
      <c r="B907" t="str">
        <v>C_TSCM66 - Logistics Execution and Warehouse Management with SAP ERP</v>
      </c>
      <c r="C907" t="str">
        <v>SAP France</v>
      </c>
      <c r="D907" t="str">
        <f>HYPERLINK("https://inventaire.cncp.gouv.fr/fiches/713/","713")</f>
        <v>713</v>
      </c>
      <c r="E907" t="str">
        <f>HYPERLINK("http://www.intercariforef.org/formations/certification-85800.html","85800")</f>
        <v>85800</v>
      </c>
      <c r="F907" s="1">
        <v>42282</v>
      </c>
      <c r="G907" s="1">
        <v>42718</v>
      </c>
    </row>
    <row r="908">
      <c r="A908" t="str">
        <v>Informatique</v>
      </c>
      <c r="B908" t="str">
        <v>Certificat #BonjourLaPresse ou #GoodMorningLaPresse</v>
      </c>
      <c r="C908" t="str">
        <v>Alliance pour les Chiffres de la Presse et des Médias</v>
      </c>
      <c r="D908" t="str">
        <f>HYPERLINK("https://inventaire.cncp.gouv.fr/fiches/3316/","3316")</f>
        <v>3316</v>
      </c>
      <c r="E908" t="str">
        <f>HYPERLINK("http://www.intercariforef.org/formations/certification-100079.html","100079")</f>
        <v>100079</v>
      </c>
      <c r="F908" s="1">
        <v>43152</v>
      </c>
      <c r="G908" s="1">
        <v>43152</v>
      </c>
    </row>
    <row r="909">
      <c r="A909" t="str">
        <v>Informatique</v>
      </c>
      <c r="B909" t="str">
        <v>Certificat Assistanat en maîtrise d'ouvrage immobilière</v>
      </c>
      <c r="C909" t="str">
        <v>Ecole nationale des ponts et chaussées</v>
      </c>
      <c r="D909" t="str">
        <f>HYPERLINK("https://inventaire.cncp.gouv.fr/fiches/2498/","2498")</f>
        <v>2498</v>
      </c>
      <c r="E909" t="str">
        <f>HYPERLINK("http://www.intercariforef.org/formations/certification-95461.html","95461")</f>
        <v>95461</v>
      </c>
      <c r="F909" s="1">
        <v>42884</v>
      </c>
      <c r="G909" s="1">
        <v>42979</v>
      </c>
    </row>
    <row r="910">
      <c r="A910" t="str">
        <v>Informatique</v>
      </c>
      <c r="B910" t="str">
        <v>Certificat BIM Manager</v>
      </c>
      <c r="C910" t="str">
        <v>Université de technologie de Troyes (UTT)</v>
      </c>
      <c r="D910" t="str">
        <f>HYPERLINK("https://inventaire.cncp.gouv.fr/fiches/3058/","3058")</f>
        <v>3058</v>
      </c>
      <c r="E910" t="str">
        <f>HYPERLINK("http://www.intercariforef.org/formations/certification-98523.html","98523")</f>
        <v>98523</v>
      </c>
      <c r="F910" s="1">
        <v>43033</v>
      </c>
      <c r="G910" s="1">
        <v>43033</v>
      </c>
    </row>
    <row r="911" ht="26.2" customHeight="1">
      <c r="A911" t="str">
        <v>Informatique</v>
      </c>
      <c r="B911" t="str">
        <v>Certificat d'Aptitude à la Business Analyse (CABA)</v>
      </c>
      <c r="C911" t="str">
        <v>Chambres de commerce et d'industrie (CCI), Ecole supérieure en informatique, gestion, management par alternance (ITESCIA)</v>
      </c>
      <c r="D911" t="str">
        <f>HYPERLINK("https://inventaire.cncp.gouv.fr/fiches/2364/","2364")</f>
        <v>2364</v>
      </c>
      <c r="E911" t="str">
        <f>HYPERLINK("http://www.intercariforef.org/formations/certification-92093.html","92093")</f>
        <v>92093</v>
      </c>
      <c r="F911" s="1">
        <v>42667</v>
      </c>
      <c r="G911" s="1">
        <v>42718</v>
      </c>
    </row>
    <row r="912">
      <c r="A912" t="str">
        <v>Informatique</v>
      </c>
      <c r="B912" t="str">
        <v>Certificat de capacité à concevoir et produire les contenus vidéos de son entreprise</v>
      </c>
      <c r="C912" t="str">
        <v>La WAB - Web Association Bergerac</v>
      </c>
      <c r="D912" t="str">
        <f>HYPERLINK("https://inventaire.cncp.gouv.fr/fiches/3840/","3840")</f>
        <v>3840</v>
      </c>
      <c r="E912" t="str">
        <f>HYPERLINK("http://www.intercariforef.org/formations/certification-103945.html","103945")</f>
        <v>103945</v>
      </c>
      <c r="F912" s="1">
        <v>43390</v>
      </c>
      <c r="G912" s="1">
        <v>43390</v>
      </c>
    </row>
    <row r="913">
      <c r="A913" t="str">
        <v>Informatique</v>
      </c>
      <c r="B913" t="str">
        <v>Certificat de capacité à développer et à diffuser un projet photographique d'auteur</v>
      </c>
      <c r="C913" t="str">
        <v>Ministère de la culture, Ecole nationale supérieure de la photographie (ENSP)</v>
      </c>
      <c r="D913" t="str">
        <f>HYPERLINK("https://inventaire.cncp.gouv.fr/fiches/1303/","1303")</f>
        <v>1303</v>
      </c>
      <c r="E913" t="str">
        <f>HYPERLINK("http://www.intercariforef.org/formations/certification-85521.html","85521")</f>
        <v>85521</v>
      </c>
      <c r="F913" s="1">
        <v>42269</v>
      </c>
      <c r="G913" s="1">
        <v>43111</v>
      </c>
    </row>
    <row r="914">
      <c r="A914" t="str">
        <v>Informatique</v>
      </c>
      <c r="B914" t="str">
        <v>Certificat de capacité à diversifier son activité de professionnel de l'image</v>
      </c>
      <c r="C914" t="str">
        <v>Ministère de la culture, Ecole nationale supérieure de la photographie (ENSP)</v>
      </c>
      <c r="D914" t="str">
        <f>HYPERLINK("https://inventaire.cncp.gouv.fr/fiches/1302/","1302")</f>
        <v>1302</v>
      </c>
      <c r="E914" t="str">
        <f>HYPERLINK("http://www.intercariforef.org/formations/certification-85524.html","85524")</f>
        <v>85524</v>
      </c>
      <c r="F914" s="1">
        <v>42269</v>
      </c>
      <c r="G914" s="1">
        <v>43111</v>
      </c>
    </row>
    <row r="915" ht="26.2" customHeight="1">
      <c r="A915" t="str">
        <v>Informatique</v>
      </c>
      <c r="B915" t="str">
        <v>Certificat de capacité à gérer et à optimiser la production d'une commande photographique numérique</v>
      </c>
      <c r="C915" t="str">
        <v>Ministère de la culture, Ecole nationale supérieure de la photographie (ENSP)</v>
      </c>
      <c r="D915" t="str">
        <f>HYPERLINK("https://inventaire.cncp.gouv.fr/fiches/1299/","1299")</f>
        <v>1299</v>
      </c>
      <c r="E915" t="str">
        <f>HYPERLINK("http://www.intercariforef.org/formations/certification-85525.html","85525")</f>
        <v>85525</v>
      </c>
      <c r="F915" s="1">
        <v>42269</v>
      </c>
      <c r="G915" s="1">
        <v>43111</v>
      </c>
    </row>
    <row r="916">
      <c r="A916" t="str">
        <v>Informatique</v>
      </c>
      <c r="B916" t="str">
        <v>Certificat de capacité à la création et à la gestion d'une page Facebook pour une entreprise</v>
      </c>
      <c r="C916" t="str">
        <v>La WAB - Web Association Bergerac</v>
      </c>
      <c r="D916" t="str">
        <f>HYPERLINK("https://inventaire.cncp.gouv.fr/fiches/2946/","2946")</f>
        <v>2946</v>
      </c>
      <c r="E916" t="str">
        <f>HYPERLINK("http://www.intercariforef.org/formations/certification-96531.html","96531")</f>
        <v>96531</v>
      </c>
      <c r="F916" s="1">
        <v>42928</v>
      </c>
      <c r="G916" s="1">
        <v>42928</v>
      </c>
    </row>
    <row r="917">
      <c r="A917" t="str">
        <v>Informatique</v>
      </c>
      <c r="B917" t="str">
        <v>Certificat de capacité à la création et à l'administration d'un site web avec le CMS Wordpress</v>
      </c>
      <c r="C917" t="str">
        <v>La WAB - Web Association Bergerac</v>
      </c>
      <c r="D917" t="str">
        <f>HYPERLINK("https://inventaire.cncp.gouv.fr/fiches/2956/","2956")</f>
        <v>2956</v>
      </c>
      <c r="E917" t="str">
        <f>HYPERLINK("http://www.intercariforef.org/formations/certification-96521.html","96521")</f>
        <v>96521</v>
      </c>
      <c r="F917" s="1">
        <v>42928</v>
      </c>
      <c r="G917" s="1">
        <v>42928</v>
      </c>
    </row>
    <row r="918">
      <c r="A918" t="str">
        <v>Informatique</v>
      </c>
      <c r="B918" t="str">
        <v>Certificat de capacité à la gestion de bases de données digitales et au mailing d'entreprise</v>
      </c>
      <c r="C918" t="str">
        <v>La WAB - Web Association Bergerac</v>
      </c>
      <c r="D918" t="str">
        <f>HYPERLINK("https://inventaire.cncp.gouv.fr/fiches/2951/","2951")</f>
        <v>2951</v>
      </c>
      <c r="E918" t="str">
        <f>HYPERLINK("http://www.intercariforef.org/formations/certification-96527.html","96527")</f>
        <v>96527</v>
      </c>
      <c r="F918" s="1">
        <v>42928</v>
      </c>
      <c r="G918" s="1">
        <v>42928</v>
      </c>
    </row>
    <row r="919">
      <c r="A919" t="str">
        <v>Informatique</v>
      </c>
      <c r="B919" t="str">
        <v>Certificat de capacité à la gestion du trafic web via l'outil Google Analytics</v>
      </c>
      <c r="C919" t="str">
        <v>La WAB - Web Association Bergerac</v>
      </c>
      <c r="D919" t="str">
        <f>HYPERLINK("https://inventaire.cncp.gouv.fr/fiches/2950/","2950")</f>
        <v>2950</v>
      </c>
      <c r="E919" t="str">
        <f>HYPERLINK("http://www.intercariforef.org/formations/certification-96529.html","96529")</f>
        <v>96529</v>
      </c>
      <c r="F919" s="1">
        <v>42928</v>
      </c>
      <c r="G919" s="1">
        <v>42928</v>
      </c>
    </row>
    <row r="920" ht="26.2" customHeight="1">
      <c r="A920" t="str">
        <v>Informatique</v>
      </c>
      <c r="B920" t="str">
        <v>Certificat de capacité à la mise en oeuvre des bonnes pratiques en vue de l'amélioration du référencement d'un site internet</v>
      </c>
      <c r="C920" t="str">
        <v>La WAB - Web Association Bergerac</v>
      </c>
      <c r="D920" t="str">
        <f>HYPERLINK("https://inventaire.cncp.gouv.fr/fiches/2955/","2955")</f>
        <v>2955</v>
      </c>
      <c r="E920" t="str">
        <f>HYPERLINK("http://www.intercariforef.org/formations/certification-96523.html","96523")</f>
        <v>96523</v>
      </c>
      <c r="F920" s="1">
        <v>42928</v>
      </c>
      <c r="G920" s="1">
        <v>42928</v>
      </c>
    </row>
    <row r="921" ht="26.2" customHeight="1">
      <c r="A921" t="str">
        <v>Informatique</v>
      </c>
      <c r="B921" t="str">
        <v>Certificat de capacité à la production de contenus multimédias éditoriaux diffusées sur internet et relayés sur les réseaux sociaux</v>
      </c>
      <c r="C921" t="str">
        <v>L'Obs - Rue89 Formation</v>
      </c>
      <c r="D921" t="str">
        <f>HYPERLINK("https://inventaire.cncp.gouv.fr/fiches/3237/","3237")</f>
        <v>3237</v>
      </c>
      <c r="E921" t="str">
        <f>HYPERLINK("http://www.intercariforef.org/formations/certification-100401.html","100401")</f>
        <v>100401</v>
      </c>
      <c r="F921" s="1">
        <v>43173</v>
      </c>
      <c r="G921" s="1">
        <v>43173</v>
      </c>
    </row>
    <row r="922">
      <c r="A922" t="str">
        <v>Informatique</v>
      </c>
      <c r="B922" t="str">
        <v>Certificat de capacité à la rédaction de contenus web</v>
      </c>
      <c r="C922" t="str">
        <v>La WAB - Web Association Bergerac</v>
      </c>
      <c r="D922" t="str">
        <f>HYPERLINK("https://inventaire.cncp.gouv.fr/fiches/2931/","2931")</f>
        <v>2931</v>
      </c>
      <c r="E922" t="str">
        <f>HYPERLINK("http://www.intercariforef.org/formations/certification-96533.html","96533")</f>
        <v>96533</v>
      </c>
      <c r="F922" s="1">
        <v>42928</v>
      </c>
      <c r="G922" s="1">
        <v>42928</v>
      </c>
    </row>
    <row r="923" ht="26.2" customHeight="1">
      <c r="A923" t="str">
        <v>Informatique</v>
      </c>
      <c r="B923" t="str">
        <v>Certificat de capacité à la rédaction d'un cahier des charges et à la gestion de projet en vue de la création/refonte d'un site internet</v>
      </c>
      <c r="C923" t="str">
        <v>La WAB - Web Association Bergerac</v>
      </c>
      <c r="D923" t="str">
        <f>HYPERLINK("https://inventaire.cncp.gouv.fr/fiches/2927/","2927")</f>
        <v>2927</v>
      </c>
      <c r="E923" t="str">
        <f>HYPERLINK("http://www.intercariforef.org/formations/certification-96537.html","96537")</f>
        <v>96537</v>
      </c>
      <c r="F923" s="1">
        <v>42928</v>
      </c>
      <c r="G923" s="1">
        <v>42928</v>
      </c>
    </row>
    <row r="924">
      <c r="A924" t="str">
        <v>Informatique</v>
      </c>
      <c r="B924" t="str">
        <v>Certificat de capacité à réaliser les maquettes graphiques d'interfaces web et mobiles</v>
      </c>
      <c r="C924" t="str">
        <v>La WAB - Web Association Bergerac</v>
      </c>
      <c r="D924" t="str">
        <f>HYPERLINK("https://inventaire.cncp.gouv.fr/fiches/3839/","3839")</f>
        <v>3839</v>
      </c>
      <c r="E924" t="str">
        <f>HYPERLINK("http://www.intercariforef.org/formations/certification-103947.html","103947")</f>
        <v>103947</v>
      </c>
      <c r="F924" s="1">
        <v>43390</v>
      </c>
      <c r="G924" s="1">
        <v>43390</v>
      </c>
    </row>
    <row r="925">
      <c r="A925" t="str">
        <v>Informatique</v>
      </c>
      <c r="B925" t="str">
        <v>Certificat de capacité au développement de son thème enfant sur Wordpress</v>
      </c>
      <c r="C925" t="str">
        <v>La WAB - Web Association Bergerac</v>
      </c>
      <c r="D925" t="str">
        <f>HYPERLINK("https://inventaire.cncp.gouv.fr/fiches/3832/","3832")</f>
        <v>3832</v>
      </c>
      <c r="E925" t="str">
        <f>HYPERLINK("http://www.intercariforef.org/formations/certification-103949.html","103949")</f>
        <v>103949</v>
      </c>
      <c r="F925" s="1">
        <v>43390</v>
      </c>
      <c r="G925" s="1">
        <v>43390</v>
      </c>
    </row>
    <row r="926">
      <c r="A926" t="str">
        <v>Informatique</v>
      </c>
      <c r="B926" t="str">
        <v>Certificat de maîtrise des fondamentaux de la création et de la production de sites web</v>
      </c>
      <c r="C926" t="str">
        <v>Pyramyd NTCV</v>
      </c>
      <c r="D926" t="str">
        <f>HYPERLINK("https://inventaire.cncp.gouv.fr/fiches/3388/","3388")</f>
        <v>3388</v>
      </c>
      <c r="E926" t="str">
        <f>HYPERLINK("http://www.intercariforef.org/formations/certification-100665.html","100665")</f>
        <v>100665</v>
      </c>
      <c r="F926" s="1">
        <v>43194</v>
      </c>
      <c r="G926" s="1">
        <v>43194</v>
      </c>
    </row>
    <row r="927">
      <c r="A927" t="str">
        <v>Informatique</v>
      </c>
      <c r="B927" t="str">
        <v>Certificat de maîtrise des fondamentaux de l'Ux design ou expérience utilisateur</v>
      </c>
      <c r="C927" t="str">
        <v>Pyramyd NTCV</v>
      </c>
      <c r="D927" t="str">
        <f>HYPERLINK("https://inventaire.cncp.gouv.fr/fiches/3540/","3540")</f>
        <v>3540</v>
      </c>
      <c r="E927" t="str">
        <f>HYPERLINK("http://www.intercariforef.org/formations/certification-100539.html","100539")</f>
        <v>100539</v>
      </c>
      <c r="F927" s="1">
        <v>43187</v>
      </c>
      <c r="G927" s="1">
        <v>43187</v>
      </c>
    </row>
    <row r="928">
      <c r="A928" t="str">
        <v>Informatique</v>
      </c>
      <c r="B928" t="str">
        <v>Certificat de Webdesigner (pour sourds et malentendants signant en LSF)</v>
      </c>
      <c r="C928" t="str">
        <v>Signes et Formation</v>
      </c>
      <c r="D928" t="str">
        <f>HYPERLINK("https://inventaire.cncp.gouv.fr/fiches/3544/","3544")</f>
        <v>3544</v>
      </c>
      <c r="E928" t="str">
        <f>HYPERLINK("http://www.intercariforef.org/formations/certification-101169.html","101169")</f>
        <v>101169</v>
      </c>
      <c r="F928" s="1">
        <v>43250</v>
      </c>
      <c r="G928" s="1">
        <v>43250</v>
      </c>
    </row>
    <row r="929">
      <c r="A929" t="str">
        <v>Informatique</v>
      </c>
      <c r="B929" t="str">
        <v>Certificat Européen en Publicité EAC (European Advertising Certificate)</v>
      </c>
      <c r="C929" t="str">
        <v>European association of communications agencies</v>
      </c>
      <c r="D929" t="str">
        <f>HYPERLINK("https://inventaire.cncp.gouv.fr/fiches/2290/","2290")</f>
        <v>2290</v>
      </c>
      <c r="E929" t="str">
        <f>HYPERLINK("http://www.intercariforef.org/formations/certification-92113.html","92113")</f>
        <v>92113</v>
      </c>
      <c r="F929" s="1">
        <v>42667</v>
      </c>
      <c r="G929" s="1">
        <v>42667</v>
      </c>
    </row>
    <row r="930">
      <c r="A930" t="str">
        <v>Informatique</v>
      </c>
      <c r="B930" t="str">
        <v>Certificat informatique et internet - niveau 1</v>
      </c>
      <c r="C930" t="str">
        <v>Ministère de l'enseignement supérieur, de la recherche et de l'innovation</v>
      </c>
      <c r="D930" t="str">
        <v>99999</v>
      </c>
      <c r="E930" t="str">
        <f>HYPERLINK("http://www.intercariforef.org/formations/certification-66050.html","66050")</f>
        <v>66050</v>
      </c>
      <c r="F930" s="1">
        <v>40225</v>
      </c>
      <c r="G930" s="1">
        <v>43125</v>
      </c>
    </row>
    <row r="931">
      <c r="A931" t="str">
        <v>Informatique</v>
      </c>
      <c r="B931" t="str">
        <v>Certificat informatique et internet - niveau 2 « enseignant »</v>
      </c>
      <c r="C931" t="str">
        <v>Ministère de l'enseignement supérieur, de la recherche et de l'innovation</v>
      </c>
      <c r="D931" t="str">
        <v>99999</v>
      </c>
      <c r="E931" t="str">
        <f>HYPERLINK("http://www.intercariforef.org/formations/certification-73670.html","73670")</f>
        <v>73670</v>
      </c>
      <c r="F931" s="1">
        <v>40577</v>
      </c>
      <c r="G931" s="1">
        <v>43125</v>
      </c>
    </row>
    <row r="932">
      <c r="A932" t="str">
        <v>Informatique</v>
      </c>
      <c r="B932" t="str">
        <v>Certificat informatique et internet - niveau 2 fonctions d'organisation et de communication</v>
      </c>
      <c r="C932" t="str">
        <v>Ministère de l'enseignement supérieur, de la recherche et de l'innovation</v>
      </c>
      <c r="D932" t="str">
        <v>99999</v>
      </c>
      <c r="E932" t="str">
        <f>HYPERLINK("http://www.intercariforef.org/formations/certification-77024.html","77024")</f>
        <v>77024</v>
      </c>
      <c r="F932" s="1">
        <v>40928</v>
      </c>
      <c r="G932" s="1">
        <v>43125</v>
      </c>
    </row>
    <row r="933">
      <c r="A933" t="str">
        <v>Informatique</v>
      </c>
      <c r="B933" t="str">
        <v>Certificat TopSolid'ERP</v>
      </c>
      <c r="C933" t="str">
        <v>Confédération générale des petites et moyennes entreprises (CGPME), Missler Software</v>
      </c>
      <c r="D933" t="str">
        <f>HYPERLINK("https://inventaire.cncp.gouv.fr/fiches/1268/","1268")</f>
        <v>1268</v>
      </c>
      <c r="E933" t="str">
        <f>HYPERLINK("http://www.intercariforef.org/formations/certification-85528.html","85528")</f>
        <v>85528</v>
      </c>
      <c r="F933" s="1">
        <v>42269</v>
      </c>
      <c r="G933" s="1">
        <v>43017</v>
      </c>
    </row>
    <row r="934">
      <c r="A934" t="str">
        <v>Informatique</v>
      </c>
      <c r="B934" t="str">
        <v>Certificat TopSolid'Wood</v>
      </c>
      <c r="C934" t="str">
        <v>Missler Software</v>
      </c>
      <c r="D934" t="str">
        <f>HYPERLINK("https://inventaire.cncp.gouv.fr/fiches/1001/","1001")</f>
        <v>1001</v>
      </c>
      <c r="E934" t="str">
        <f>HYPERLINK("http://www.intercariforef.org/formations/certification-85163.html","85163")</f>
        <v>85163</v>
      </c>
      <c r="F934" s="1">
        <v>42201</v>
      </c>
      <c r="G934" s="1">
        <v>42718</v>
      </c>
    </row>
    <row r="935">
      <c r="A935" t="str">
        <v>Informatique</v>
      </c>
      <c r="B935" t="str">
        <v>Certification "Communication stratégique dans les coopératives agricoles et leurs filiales"</v>
      </c>
      <c r="C935" t="str">
        <v>Services Coop de France</v>
      </c>
      <c r="D935" t="str">
        <f>HYPERLINK("https://inventaire.cncp.gouv.fr/fiches/2304/","2304")</f>
        <v>2304</v>
      </c>
      <c r="E935" t="str">
        <f>HYPERLINK("http://www.intercariforef.org/formations/certification-93765.html","93765")</f>
        <v>93765</v>
      </c>
      <c r="F935" s="1">
        <v>42725</v>
      </c>
      <c r="G935" s="1">
        <v>42725</v>
      </c>
    </row>
    <row r="936">
      <c r="A936" t="str">
        <v>Informatique</v>
      </c>
      <c r="B936" t="str">
        <v>Certification "Transformation numérique en coopératives agricoles et leurs filiales"</v>
      </c>
      <c r="C936" t="str">
        <v>Services Coop de France</v>
      </c>
      <c r="D936" t="str">
        <f>HYPERLINK("https://inventaire.cncp.gouv.fr/fiches/2324/","2324")</f>
        <v>2324</v>
      </c>
      <c r="E936" t="str">
        <f>HYPERLINK("http://www.intercariforef.org/formations/certification-93763.html","93763")</f>
        <v>93763</v>
      </c>
      <c r="F936" s="1">
        <v>42725</v>
      </c>
      <c r="G936" s="1">
        <v>42725</v>
      </c>
    </row>
    <row r="937">
      <c r="A937" t="str">
        <v>Informatique</v>
      </c>
      <c r="B937" t="str">
        <v>Certification Bureautique</v>
      </c>
      <c r="C937" t="str">
        <v>ENI Editions</v>
      </c>
      <c r="D937" t="str">
        <f>HYPERLINK("https://inventaire.cncp.gouv.fr/fiches/2110/","2110")</f>
        <v>2110</v>
      </c>
      <c r="E937" t="str">
        <f>HYPERLINK("http://www.intercariforef.org/formations/certification-90073.html","90073")</f>
        <v>90073</v>
      </c>
      <c r="F937" s="1">
        <v>42559</v>
      </c>
      <c r="G937" s="1">
        <v>43173</v>
      </c>
    </row>
    <row r="938">
      <c r="A938" t="str">
        <v>Informatique</v>
      </c>
      <c r="B938" t="str">
        <v>Certification C2I (informatique et Internet)</v>
      </c>
      <c r="C938" t="str">
        <v>Ministère de l'enseignement supérieur, de la recherche et de l'innovation</v>
      </c>
      <c r="D938" t="str">
        <v>99999</v>
      </c>
      <c r="E938" t="str">
        <f>HYPERLINK("http://www.intercariforef.org/formations/certification-84427.html","84427")</f>
        <v>84427</v>
      </c>
      <c r="F938" s="1">
        <v>42109</v>
      </c>
      <c r="G938" s="1">
        <v>43125</v>
      </c>
    </row>
    <row r="939">
      <c r="A939" t="str">
        <v>Informatique</v>
      </c>
      <c r="B939" t="str">
        <v>Certification Communication Digitale</v>
      </c>
      <c r="C939" t="str">
        <v>TalenCo</v>
      </c>
      <c r="D939" t="str">
        <f>HYPERLINK("https://inventaire.cncp.gouv.fr/fiches/2271/","2271")</f>
        <v>2271</v>
      </c>
      <c r="E939" t="str">
        <f>HYPERLINK("http://www.intercariforef.org/formations/certification-92117.html","92117")</f>
        <v>92117</v>
      </c>
      <c r="F939" s="1">
        <v>42667</v>
      </c>
      <c r="G939" s="1">
        <v>42667</v>
      </c>
    </row>
    <row r="940">
      <c r="A940" t="str">
        <v>Informatique</v>
      </c>
      <c r="B940" t="str">
        <v>Certification en affaires règlementaires dans l'industrie pharmaceutique</v>
      </c>
      <c r="C940" t="str">
        <v>Institut de formation industrie de santé (IFIS)</v>
      </c>
      <c r="D940" t="str">
        <f>HYPERLINK("https://inventaire.cncp.gouv.fr/fiches/646/","646")</f>
        <v>646</v>
      </c>
      <c r="E940" t="str">
        <f>HYPERLINK("http://www.intercariforef.org/formations/certification-84944.html","84944")</f>
        <v>84944</v>
      </c>
      <c r="F940" s="1">
        <v>42178</v>
      </c>
      <c r="G940" s="1">
        <v>42178</v>
      </c>
    </row>
    <row r="941">
      <c r="A941" t="str">
        <v>Informatique</v>
      </c>
      <c r="B941" t="str">
        <v>Certification en infographie audiovisuelle</v>
      </c>
      <c r="C941" t="str">
        <v>Institut national de formation et d'application - INFA PACA</v>
      </c>
      <c r="D941" t="str">
        <f>HYPERLINK("https://inventaire.cncp.gouv.fr/fiches/2286/","2286")</f>
        <v>2286</v>
      </c>
      <c r="E941" t="str">
        <f>HYPERLINK("http://www.intercariforef.org/formations/certification-94873.html","94873")</f>
        <v>94873</v>
      </c>
      <c r="F941" s="1">
        <v>42836</v>
      </c>
      <c r="G941" s="1">
        <v>42836</v>
      </c>
    </row>
    <row r="942">
      <c r="A942" t="str">
        <v>Informatique</v>
      </c>
      <c r="B942" t="str">
        <v>Certification IBM certified administrator - Cognos BI</v>
      </c>
      <c r="C942" t="str">
        <v>IBM</v>
      </c>
      <c r="D942" t="str">
        <f>HYPERLINK("https://inventaire.cncp.gouv.fr/fiches/279/","279")</f>
        <v>279</v>
      </c>
      <c r="E942" t="str">
        <f>HYPERLINK("http://www.intercariforef.org/formations/certification-84520.html","84520")</f>
        <v>84520</v>
      </c>
      <c r="F942" s="1">
        <v>42114</v>
      </c>
      <c r="G942" s="1">
        <v>42718</v>
      </c>
    </row>
    <row r="943">
      <c r="A943" t="str">
        <v>Informatique</v>
      </c>
      <c r="B943" t="str">
        <v>Certification IBM certified administrator - Cognos TM1</v>
      </c>
      <c r="C943" t="str">
        <v>IBM</v>
      </c>
      <c r="D943" t="str">
        <f>HYPERLINK("https://inventaire.cncp.gouv.fr/fiches/226/","226")</f>
        <v>226</v>
      </c>
      <c r="E943" t="str">
        <f>HYPERLINK("http://www.intercariforef.org/formations/certification-84518.html","84518")</f>
        <v>84518</v>
      </c>
      <c r="F943" s="1">
        <v>42114</v>
      </c>
      <c r="G943" s="1">
        <v>42718</v>
      </c>
    </row>
    <row r="944">
      <c r="A944" t="str">
        <v>Informatique</v>
      </c>
      <c r="B944" t="str">
        <v>Certification IBM Certified Administrator - Tivoli Storage Manager</v>
      </c>
      <c r="C944" t="str">
        <v>IBM</v>
      </c>
      <c r="D944" t="str">
        <f>HYPERLINK("https://inventaire.cncp.gouv.fr/fiches/638/","638")</f>
        <v>638</v>
      </c>
      <c r="E944" t="str">
        <f>HYPERLINK("http://www.intercariforef.org/formations/certification-84970.html","84970")</f>
        <v>84970</v>
      </c>
      <c r="F944" s="1">
        <v>42178</v>
      </c>
      <c r="G944" s="1">
        <v>42178</v>
      </c>
    </row>
    <row r="945">
      <c r="A945" t="str">
        <v>Informatique</v>
      </c>
      <c r="B945" t="str">
        <v>Certification IBM Certified Associate - Endpoint Manager</v>
      </c>
      <c r="C945" t="str">
        <v>IBM</v>
      </c>
      <c r="D945" t="str">
        <f>HYPERLINK("https://inventaire.cncp.gouv.fr/fiches/1028/","1028")</f>
        <v>1028</v>
      </c>
      <c r="E945" t="str">
        <f>HYPERLINK("http://www.intercariforef.org/formations/certification-85001.html","85001")</f>
        <v>85001</v>
      </c>
      <c r="F945" s="1">
        <v>42184</v>
      </c>
      <c r="G945" s="1">
        <v>42718</v>
      </c>
    </row>
    <row r="946">
      <c r="A946" t="str">
        <v>Informatique</v>
      </c>
      <c r="B946" t="str">
        <v>Certification IBM Certified Database Administrator - DB2 DBA for z/OS</v>
      </c>
      <c r="C946" t="str">
        <v>IBM</v>
      </c>
      <c r="D946" t="str">
        <f>HYPERLINK("https://inventaire.cncp.gouv.fr/fiches/649/","649")</f>
        <v>649</v>
      </c>
      <c r="E946" t="str">
        <f>HYPERLINK("http://www.intercariforef.org/formations/certification-84971.html","84971")</f>
        <v>84971</v>
      </c>
      <c r="F946" s="1">
        <v>42178</v>
      </c>
      <c r="G946" s="1">
        <v>42178</v>
      </c>
    </row>
    <row r="947">
      <c r="A947" t="str">
        <v>Informatique</v>
      </c>
      <c r="B947" t="str">
        <v>Certification IBM Certified Database Associate - DB2 Fundamentals</v>
      </c>
      <c r="C947" t="str">
        <v>IBM</v>
      </c>
      <c r="D947" t="str">
        <f>HYPERLINK("https://inventaire.cncp.gouv.fr/fiches/671/","671")</f>
        <v>671</v>
      </c>
      <c r="E947" t="str">
        <f>HYPERLINK("http://www.intercariforef.org/formations/certification-84972.html","84972")</f>
        <v>84972</v>
      </c>
      <c r="F947" s="1">
        <v>42178</v>
      </c>
      <c r="G947" s="1">
        <v>42718</v>
      </c>
    </row>
    <row r="948">
      <c r="A948" t="str">
        <v>Informatique</v>
      </c>
      <c r="B948" t="str">
        <v>Certification IBM Certified Specialist - SPSS Modeler Professional</v>
      </c>
      <c r="C948" t="str">
        <v>IBM</v>
      </c>
      <c r="D948" t="str">
        <f>HYPERLINK("https://inventaire.cncp.gouv.fr/fiches/775/","775")</f>
        <v>775</v>
      </c>
      <c r="E948" t="str">
        <f>HYPERLINK("http://www.intercariforef.org/formations/certification-85043.html","85043")</f>
        <v>85043</v>
      </c>
      <c r="F948" s="1">
        <v>42185</v>
      </c>
      <c r="G948" s="1">
        <v>42718</v>
      </c>
    </row>
    <row r="949">
      <c r="A949" t="str">
        <v>Informatique</v>
      </c>
      <c r="B949" t="str">
        <v>Certification IBM Certified System Administrator - AIX</v>
      </c>
      <c r="C949" t="str">
        <v>IBM</v>
      </c>
      <c r="D949" t="str">
        <f>HYPERLINK("https://inventaire.cncp.gouv.fr/fiches/683/","683")</f>
        <v>683</v>
      </c>
      <c r="E949" t="str">
        <f>HYPERLINK("http://www.intercariforef.org/formations/certification-84974.html","84974")</f>
        <v>84974</v>
      </c>
      <c r="F949" s="1">
        <v>42178</v>
      </c>
      <c r="G949" s="1">
        <v>42178</v>
      </c>
    </row>
    <row r="950" ht="26.2" customHeight="1">
      <c r="A950" t="str">
        <v>Informatique</v>
      </c>
      <c r="B950" t="str">
        <v>Certification IBM Certified System Administrator - WebSphere Application Server Network Deployment and Liberty Profile</v>
      </c>
      <c r="C950" t="str">
        <v>IBM</v>
      </c>
      <c r="D950" t="str">
        <f>HYPERLINK("https://inventaire.cncp.gouv.fr/fiches/773/","773")</f>
        <v>773</v>
      </c>
      <c r="E950" t="str">
        <f>HYPERLINK("http://www.intercariforef.org/formations/certification-85044.html","85044")</f>
        <v>85044</v>
      </c>
      <c r="F950" s="1">
        <v>42185</v>
      </c>
      <c r="G950" s="1">
        <v>42718</v>
      </c>
    </row>
    <row r="951">
      <c r="A951" t="str">
        <v>Informatique</v>
      </c>
      <c r="B951" t="str">
        <v>Certification IBM Certified System Administrator - Websphere MQ</v>
      </c>
      <c r="C951" t="str">
        <v>IBM</v>
      </c>
      <c r="D951" t="str">
        <f>HYPERLINK("https://inventaire.cncp.gouv.fr/fiches/776/","776")</f>
        <v>776</v>
      </c>
      <c r="E951" t="str">
        <f>HYPERLINK("http://www.intercariforef.org/formations/certification-85037.html","85037")</f>
        <v>85037</v>
      </c>
      <c r="F951" s="1">
        <v>42185</v>
      </c>
      <c r="G951" s="1">
        <v>42185</v>
      </c>
    </row>
    <row r="952">
      <c r="A952" t="str">
        <v>Informatique</v>
      </c>
      <c r="B952" t="str">
        <v>Certification IT - Administration d'un système Linux</v>
      </c>
      <c r="C952" t="str">
        <v>ENI Editions</v>
      </c>
      <c r="D952" t="str">
        <f>HYPERLINK("https://inventaire.cncp.gouv.fr/fiches/2722/","2722")</f>
        <v>2722</v>
      </c>
      <c r="E952" t="str">
        <f>HYPERLINK("http://www.intercariforef.org/formations/certification-95441.html","95441")</f>
        <v>95441</v>
      </c>
      <c r="F952" s="1">
        <v>42884</v>
      </c>
      <c r="G952" s="1">
        <v>42884</v>
      </c>
    </row>
    <row r="953">
      <c r="A953" t="str">
        <v>Informatique</v>
      </c>
      <c r="B953" t="str">
        <v>Certification IT - Administration d'une base de données</v>
      </c>
      <c r="C953" t="str">
        <v>ENI Editions</v>
      </c>
      <c r="D953" t="str">
        <f>HYPERLINK("https://inventaire.cncp.gouv.fr/fiches/2719/","2719")</f>
        <v>2719</v>
      </c>
      <c r="E953" t="str">
        <f>HYPERLINK("http://www.intercariforef.org/formations/certification-95445.html","95445")</f>
        <v>95445</v>
      </c>
      <c r="F953" s="1">
        <v>42884</v>
      </c>
      <c r="G953" s="1">
        <v>42884</v>
      </c>
    </row>
    <row r="954">
      <c r="A954" t="str">
        <v>Informatique</v>
      </c>
      <c r="B954" t="str">
        <v>Certification IT - Automatisation des tâches d'administration système à l'aide de scripts</v>
      </c>
      <c r="C954" t="str">
        <v>ENI Editions</v>
      </c>
      <c r="D954" t="str">
        <f>HYPERLINK("https://inventaire.cncp.gouv.fr/fiches/2721/","2721")</f>
        <v>2721</v>
      </c>
      <c r="E954" t="str">
        <f>HYPERLINK("http://www.intercariforef.org/formations/certification-95443.html","95443")</f>
        <v>95443</v>
      </c>
      <c r="F954" s="1">
        <v>42884</v>
      </c>
      <c r="G954" s="1">
        <v>42884</v>
      </c>
    </row>
    <row r="955" ht="26.2" customHeight="1">
      <c r="A955" t="str">
        <v>Informatique</v>
      </c>
      <c r="B955" t="str">
        <v>Certification IT - Développement de sites web avec le langage de balises HTML et des feuilles de styles CSS</v>
      </c>
      <c r="C955" t="str">
        <v>ENI Editions</v>
      </c>
      <c r="D955" t="str">
        <f>HYPERLINK("https://inventaire.cncp.gouv.fr/fiches/2724/","2724")</f>
        <v>2724</v>
      </c>
      <c r="E955" t="str">
        <f>HYPERLINK("http://www.intercariforef.org/formations/certification-95439.html","95439")</f>
        <v>95439</v>
      </c>
      <c r="F955" s="1">
        <v>42884</v>
      </c>
      <c r="G955" s="1">
        <v>42884</v>
      </c>
    </row>
    <row r="956">
      <c r="A956" t="str">
        <v>Informatique</v>
      </c>
      <c r="B956" t="str">
        <v>Certification IT - Développement de sites web dynamiques</v>
      </c>
      <c r="C956" t="str">
        <v>ENI Editions</v>
      </c>
      <c r="D956" t="str">
        <f>HYPERLINK("https://inventaire.cncp.gouv.fr/fiches/2726/","2726")</f>
        <v>2726</v>
      </c>
      <c r="E956" t="str">
        <f>HYPERLINK("http://www.intercariforef.org/formations/certification-95435.html","95435")</f>
        <v>95435</v>
      </c>
      <c r="F956" s="1">
        <v>42884</v>
      </c>
      <c r="G956" s="1">
        <v>42884</v>
      </c>
    </row>
    <row r="957">
      <c r="A957" t="str">
        <v>Informatique</v>
      </c>
      <c r="B957" t="str">
        <v>Certification IT - Exploitation d'une base de données avec le langage SQL</v>
      </c>
      <c r="C957" t="str">
        <v>ENI Editions</v>
      </c>
      <c r="D957" t="str">
        <f>HYPERLINK("https://inventaire.cncp.gouv.fr/fiches/2718/","2718")</f>
        <v>2718</v>
      </c>
      <c r="E957" t="str">
        <f>HYPERLINK("http://www.intercariforef.org/formations/certification-95447.html","95447")</f>
        <v>95447</v>
      </c>
      <c r="F957" s="1">
        <v>42884</v>
      </c>
      <c r="G957" s="1">
        <v>42884</v>
      </c>
    </row>
    <row r="958">
      <c r="A958" t="str">
        <v>Informatique</v>
      </c>
      <c r="B958" t="str">
        <v>Certification Microsoft - Administering a SQL Database Infrastructure (70-764)</v>
      </c>
      <c r="C958" t="str">
        <v>Microsoft</v>
      </c>
      <c r="D958" t="str">
        <f>HYPERLINK("https://inventaire.cncp.gouv.fr/fiches/3604/","3604")</f>
        <v>3604</v>
      </c>
      <c r="E958" t="str">
        <f>HYPERLINK("http://www.intercariforef.org/formations/certification-102559.html","102559")</f>
        <v>102559</v>
      </c>
      <c r="F958" s="1">
        <v>43298</v>
      </c>
      <c r="G958" s="1">
        <v>43298</v>
      </c>
    </row>
    <row r="959" ht="26.2" customHeight="1">
      <c r="A959" t="str">
        <v>Informatique</v>
      </c>
      <c r="B959" t="str">
        <v>Certification Microsoft - Administering Microsoft System Center Configuration Manager and Cloud Services Integration (70-703)</v>
      </c>
      <c r="C959" t="str">
        <v>Microsoft</v>
      </c>
      <c r="D959" t="str">
        <f>HYPERLINK("https://inventaire.cncp.gouv.fr/fiches/3737/","3737")</f>
        <v>3737</v>
      </c>
      <c r="E959" t="str">
        <f>HYPERLINK("http://www.intercariforef.org/formations/certification-103929.html","103929")</f>
        <v>103929</v>
      </c>
      <c r="F959" s="1">
        <v>43390</v>
      </c>
      <c r="G959" s="1">
        <v>43390</v>
      </c>
    </row>
    <row r="960">
      <c r="A960" t="str">
        <v>Informatique</v>
      </c>
      <c r="B960" t="str">
        <v>Certification Microsoft - Administration de Windows Server 2012 (70-411)</v>
      </c>
      <c r="C960" t="str">
        <v>Microsoft</v>
      </c>
      <c r="D960" t="str">
        <f>HYPERLINK("https://inventaire.cncp.gouv.fr/fiches/333/","333")</f>
        <v>333</v>
      </c>
      <c r="E960" t="str">
        <f>HYPERLINK("http://www.intercariforef.org/formations/certification-84436.html","84436")</f>
        <v>84436</v>
      </c>
      <c r="F960" s="1">
        <v>42109</v>
      </c>
      <c r="G960" s="1">
        <v>42135</v>
      </c>
    </row>
    <row r="961">
      <c r="A961" t="str">
        <v>Informatique</v>
      </c>
      <c r="B961" t="str">
        <v>Certification Microsoft - Analyzing Big Data with Microsoft R (70-773)</v>
      </c>
      <c r="C961" t="str">
        <v>Microsoft</v>
      </c>
      <c r="D961" t="str">
        <f>HYPERLINK("https://inventaire.cncp.gouv.fr/fiches/3744/","3744")</f>
        <v>3744</v>
      </c>
      <c r="E961" t="str">
        <f>HYPERLINK("http://www.intercariforef.org/formations/certification-103921.html","103921")</f>
        <v>103921</v>
      </c>
      <c r="F961" s="1">
        <v>43390</v>
      </c>
      <c r="G961" s="1">
        <v>43390</v>
      </c>
    </row>
    <row r="962">
      <c r="A962" t="str">
        <v>Informatique</v>
      </c>
      <c r="B962" t="str">
        <v>Certification Microsoft - Conception et mise en oeuvre des solutions Big Data Analytics (70-475)</v>
      </c>
      <c r="C962" t="str">
        <v>Microsoft</v>
      </c>
      <c r="D962" t="str">
        <f>HYPERLINK("https://inventaire.cncp.gouv.fr/fiches/2158/","2158")</f>
        <v>2158</v>
      </c>
      <c r="E962" t="str">
        <f>HYPERLINK("http://www.intercariforef.org/formations/certification-100147.html","100147")</f>
        <v>100147</v>
      </c>
      <c r="F962" s="1">
        <v>43153</v>
      </c>
      <c r="G962" s="1">
        <v>43153</v>
      </c>
    </row>
    <row r="963" ht="26.2" customHeight="1">
      <c r="A963" t="str">
        <v>Informatique</v>
      </c>
      <c r="B963" t="str">
        <v>Certification Microsoft - Conception et mise en oeuvre des solutions Cloud Data Platform (70-473)</v>
      </c>
      <c r="C963" t="str">
        <v>Microsoft</v>
      </c>
      <c r="D963" t="str">
        <f>HYPERLINK("https://inventaire.cncp.gouv.fr/fiches/2155/","2155")</f>
        <v>2155</v>
      </c>
      <c r="E963" t="str">
        <f>HYPERLINK("http://www.intercariforef.org/formations/certification-100721.html","100721")</f>
        <v>100721</v>
      </c>
      <c r="F963" s="1">
        <v>43199</v>
      </c>
      <c r="G963" s="1">
        <v>43199</v>
      </c>
    </row>
    <row r="964">
      <c r="A964" t="str">
        <v>Informatique</v>
      </c>
      <c r="B964" t="str">
        <v>Certification Microsoft - configuration de périphériques Windows (70-697)</v>
      </c>
      <c r="C964" t="str">
        <v>Microsoft</v>
      </c>
      <c r="D964" t="str">
        <f>HYPERLINK("https://inventaire.cncp.gouv.fr/fiches/1530/","1530")</f>
        <v>1530</v>
      </c>
      <c r="E964" t="str">
        <f>HYPERLINK("http://www.intercariforef.org/formations/certification-86349.html","86349")</f>
        <v>86349</v>
      </c>
      <c r="F964" s="1">
        <v>42340</v>
      </c>
      <c r="G964" s="1">
        <v>42340</v>
      </c>
    </row>
    <row r="965">
      <c r="A965" t="str">
        <v>Informatique</v>
      </c>
      <c r="B965" t="str">
        <v>Certification Microsoft - Core Solutions of Microsoft Skype for Business 2015 (70-334)</v>
      </c>
      <c r="C965" t="str">
        <v>Microsoft</v>
      </c>
      <c r="D965" t="str">
        <f>HYPERLINK("https://inventaire.cncp.gouv.fr/fiches/3740/","3740")</f>
        <v>3740</v>
      </c>
      <c r="E965" t="str">
        <f>HYPERLINK("http://www.intercariforef.org/formations/certification-103927.html","103927")</f>
        <v>103927</v>
      </c>
      <c r="F965" s="1">
        <v>43390</v>
      </c>
      <c r="G965" s="1">
        <v>43390</v>
      </c>
    </row>
    <row r="966" ht="26.2" customHeight="1">
      <c r="A966" t="str">
        <v>Informatique</v>
      </c>
      <c r="B966" t="str">
        <v>Certification Microsoft - Déploiement de périphériques Windows et d'applications d'entreprise (70-695)</v>
      </c>
      <c r="C966" t="str">
        <v>Microsoft</v>
      </c>
      <c r="D966" t="str">
        <f>HYPERLINK("https://inventaire.cncp.gouv.fr/fiches/1262/","1262")</f>
        <v>1262</v>
      </c>
      <c r="E966" t="str">
        <f>HYPERLINK("http://www.intercariforef.org/formations/certification-88377.html","88377")</f>
        <v>88377</v>
      </c>
      <c r="F966" s="1">
        <v>42460</v>
      </c>
      <c r="G966" s="1">
        <v>42718</v>
      </c>
    </row>
    <row r="967">
      <c r="A967" t="str">
        <v>Informatique</v>
      </c>
      <c r="B967" t="str">
        <v>Certification Microsoft - Déployer et gérer Microsoft Exchange Server 2016 (70-345)</v>
      </c>
      <c r="C967" t="str">
        <v>Microsoft</v>
      </c>
      <c r="D967" t="str">
        <f>HYPERLINK("https://inventaire.cncp.gouv.fr/fiches/2106/","2106")</f>
        <v>2106</v>
      </c>
      <c r="E967" t="str">
        <f>HYPERLINK("http://www.intercariforef.org/formations/certification-100151.html","100151")</f>
        <v>100151</v>
      </c>
      <c r="F967" s="1">
        <v>43153</v>
      </c>
      <c r="G967" s="1">
        <v>43153</v>
      </c>
    </row>
    <row r="968">
      <c r="A968" t="str">
        <v>Informatique</v>
      </c>
      <c r="B968" t="str">
        <v>Certification Microsoft - Deploying Enterprise Voice with Skype for Business 2015 (70-333)</v>
      </c>
      <c r="C968" t="str">
        <v>Microsoft</v>
      </c>
      <c r="D968" t="str">
        <f>HYPERLINK("https://inventaire.cncp.gouv.fr/fiches/2099/","2099")</f>
        <v>2099</v>
      </c>
      <c r="E968" t="str">
        <f>HYPERLINK("http://www.intercariforef.org/formations/certification-100153.html","100153")</f>
        <v>100153</v>
      </c>
      <c r="F968" s="1">
        <v>43153</v>
      </c>
      <c r="G968" s="1">
        <v>43153</v>
      </c>
    </row>
    <row r="969">
      <c r="A969" t="str">
        <v>Informatique</v>
      </c>
      <c r="B969" t="str">
        <v>Certification Microsoft - Developing SQL Data Models (70-768)</v>
      </c>
      <c r="C969" t="str">
        <v>Microsoft</v>
      </c>
      <c r="D969" t="str">
        <f>HYPERLINK("https://inventaire.cncp.gouv.fr/fiches/3607/","3607")</f>
        <v>3607</v>
      </c>
      <c r="E969" t="str">
        <f>HYPERLINK("http://www.intercariforef.org/formations/certification-102549.html","102549")</f>
        <v>102549</v>
      </c>
      <c r="F969" s="1">
        <v>43298</v>
      </c>
      <c r="G969" s="1">
        <v>43298</v>
      </c>
    </row>
    <row r="970">
      <c r="A970" t="str">
        <v>Informatique</v>
      </c>
      <c r="B970" t="str">
        <v>Certification Microsoft - Developing SQL Databases (70-762)</v>
      </c>
      <c r="C970" t="str">
        <v>Microsoft</v>
      </c>
      <c r="D970" t="str">
        <f>HYPERLINK("https://inventaire.cncp.gouv.fr/fiches/3603/","3603")</f>
        <v>3603</v>
      </c>
      <c r="E970" t="str">
        <f>HYPERLINK("http://www.intercariforef.org/formations/certification-104005.html","104005")</f>
        <v>104005</v>
      </c>
      <c r="F970" s="1">
        <v>43392</v>
      </c>
      <c r="G970" s="1">
        <v>43392</v>
      </c>
    </row>
    <row r="971">
      <c r="A971" t="str">
        <v>Informatique</v>
      </c>
      <c r="B971" t="str">
        <v>Certification Microsoft - Enabling Office 365 Services (examen 70-347)</v>
      </c>
      <c r="C971" t="str">
        <v>Microsoft</v>
      </c>
      <c r="D971" t="str">
        <f>HYPERLINK("https://inventaire.cncp.gouv.fr/fiches/362/","362")</f>
        <v>362</v>
      </c>
      <c r="E971" t="str">
        <f>HYPERLINK("http://www.intercariforef.org/formations/certification-84430.html","84430")</f>
        <v>84430</v>
      </c>
      <c r="F971" s="1">
        <v>42109</v>
      </c>
      <c r="G971" s="1">
        <v>42135</v>
      </c>
    </row>
    <row r="972">
      <c r="A972" t="str">
        <v>Informatique</v>
      </c>
      <c r="B972" t="str">
        <v>Certification Microsoft - Identité avec Windows Server 2016 (70-742)</v>
      </c>
      <c r="C972" t="str">
        <v>Microsoft</v>
      </c>
      <c r="D972" t="str">
        <f>HYPERLINK("https://inventaire.cncp.gouv.fr/fiches/2653/","2653")</f>
        <v>2653</v>
      </c>
      <c r="E972" t="str">
        <f>HYPERLINK("http://www.intercariforef.org/formations/certification-94985.html","94985")</f>
        <v>94985</v>
      </c>
      <c r="F972" s="1">
        <v>42838</v>
      </c>
      <c r="G972" s="1">
        <v>42838</v>
      </c>
    </row>
    <row r="973">
      <c r="A973" t="str">
        <v>Informatique</v>
      </c>
      <c r="B973" t="str">
        <v>Certification Microsoft - Implementing a Data Warehouse using SQL (70-767)</v>
      </c>
      <c r="C973" t="str">
        <v>Microsoft</v>
      </c>
      <c r="D973" t="str">
        <f>HYPERLINK("https://inventaire.cncp.gouv.fr/fiches/3606/","3606")</f>
        <v>3606</v>
      </c>
      <c r="E973" t="str">
        <f>HYPERLINK("http://www.intercariforef.org/formations/certification-104003.html","104003")</f>
        <v>104003</v>
      </c>
      <c r="F973" s="1">
        <v>43392</v>
      </c>
      <c r="G973" s="1">
        <v>43392</v>
      </c>
    </row>
    <row r="974">
      <c r="A974" t="str">
        <v>Informatique</v>
      </c>
      <c r="B974" t="str">
        <v>Certification Microsoft - Implementing a Software-Defined Datacenter (70-745)</v>
      </c>
      <c r="C974" t="str">
        <v>Microsoft</v>
      </c>
      <c r="D974" t="str">
        <f>HYPERLINK("https://inventaire.cncp.gouv.fr/fiches/3741/","3741")</f>
        <v>3741</v>
      </c>
      <c r="E974" t="str">
        <f>HYPERLINK("http://www.intercariforef.org/formations/certification-103925.html","103925")</f>
        <v>103925</v>
      </c>
      <c r="F974" s="1">
        <v>43390</v>
      </c>
      <c r="G974" s="1">
        <v>43390</v>
      </c>
    </row>
    <row r="975">
      <c r="A975" t="str">
        <v>Informatique</v>
      </c>
      <c r="B975" t="str">
        <v>Certification Microsoft - Installation et Configuration Windows 10 en développement (70-698)</v>
      </c>
      <c r="C975" t="str">
        <v>Microsoft</v>
      </c>
      <c r="D975" t="str">
        <f>HYPERLINK("https://inventaire.cncp.gouv.fr/fiches/2200/","2200")</f>
        <v>2200</v>
      </c>
      <c r="E975" t="str">
        <f>HYPERLINK("http://www.intercariforef.org/formations/certification-100719.html","100719")</f>
        <v>100719</v>
      </c>
      <c r="F975" s="1">
        <v>43199</v>
      </c>
      <c r="G975" s="1">
        <v>43199</v>
      </c>
    </row>
    <row r="976">
      <c r="A976" t="str">
        <v>Informatique</v>
      </c>
      <c r="B976" t="str">
        <v>Certification Microsoft - Installation, stockage et calcul avec Windows Server 2016 (70-740)</v>
      </c>
      <c r="C976" t="str">
        <v>Microsoft</v>
      </c>
      <c r="D976" t="str">
        <f>HYPERLINK("https://inventaire.cncp.gouv.fr/fiches/2635/","2635")</f>
        <v>2635</v>
      </c>
      <c r="E976" t="str">
        <f>HYPERLINK("http://www.intercariforef.org/formations/certification-94989.html","94989")</f>
        <v>94989</v>
      </c>
      <c r="F976" s="1">
        <v>42838</v>
      </c>
      <c r="G976" s="1">
        <v>42838</v>
      </c>
    </row>
    <row r="977" ht="26.2" customHeight="1">
      <c r="A977" t="str">
        <v>Informatique</v>
      </c>
      <c r="B977" t="str">
        <v>Certification Microsoft - Mise à niveau de vos compétences MCSA : Windows serveur 2016 (70-743)</v>
      </c>
      <c r="C977" t="str">
        <v>Microsoft</v>
      </c>
      <c r="D977" t="str">
        <f>HYPERLINK("https://inventaire.cncp.gouv.fr/fiches/2654/","2654")</f>
        <v>2654</v>
      </c>
      <c r="E977" t="str">
        <f>HYPERLINK("http://www.intercariforef.org/formations/certification-94983.html","94983")</f>
        <v>94983</v>
      </c>
      <c r="F977" s="1">
        <v>42838</v>
      </c>
      <c r="G977" s="1">
        <v>42838</v>
      </c>
    </row>
    <row r="978">
      <c r="A978" t="str">
        <v>Informatique</v>
      </c>
      <c r="B978" t="str">
        <v>Certification Microsoft - Mise en réseau avec Windows Server 2016 (70-741)</v>
      </c>
      <c r="C978" t="str">
        <v>Microsoft</v>
      </c>
      <c r="D978" t="str">
        <f>HYPERLINK("https://inventaire.cncp.gouv.fr/fiches/2651/","2651")</f>
        <v>2651</v>
      </c>
      <c r="E978" t="str">
        <f>HYPERLINK("http://www.intercariforef.org/formations/certification-94987.html","94987")</f>
        <v>94987</v>
      </c>
      <c r="F978" s="1">
        <v>42838</v>
      </c>
      <c r="G978" s="1">
        <v>42838</v>
      </c>
    </row>
    <row r="979">
      <c r="A979" t="str">
        <v>Informatique</v>
      </c>
      <c r="B979" t="str">
        <v>Certification Microsoft - Perform Data Engineering on Microsoft Azure HDInsight (70-775)</v>
      </c>
      <c r="C979" t="str">
        <v>Microsoft</v>
      </c>
      <c r="D979" t="str">
        <f>HYPERLINK("https://inventaire.cncp.gouv.fr/fiches/3742/","3742")</f>
        <v>3742</v>
      </c>
      <c r="E979" t="str">
        <f>HYPERLINK("http://www.intercariforef.org/formations/certification-103923.html","103923")</f>
        <v>103923</v>
      </c>
      <c r="F979" s="1">
        <v>43390</v>
      </c>
      <c r="G979" s="1">
        <v>43390</v>
      </c>
    </row>
    <row r="980">
      <c r="A980" t="str">
        <v>Informatique</v>
      </c>
      <c r="B980" t="str">
        <v>Certification Microsoft - Planification et Gestion des périphériques dans l'entreprise (70-398)</v>
      </c>
      <c r="C980" t="str">
        <v>Microsoft</v>
      </c>
      <c r="D980" t="str">
        <f>HYPERLINK("https://inventaire.cncp.gouv.fr/fiches/2116/","2116")</f>
        <v>2116</v>
      </c>
      <c r="E980" t="str">
        <f>HYPERLINK("http://www.intercariforef.org/formations/certification-100149.html","100149")</f>
        <v>100149</v>
      </c>
      <c r="F980" s="1">
        <v>43153</v>
      </c>
      <c r="G980" s="1">
        <v>43153</v>
      </c>
    </row>
    <row r="981" ht="26.2" customHeight="1">
      <c r="A981" t="str">
        <v>Informatique</v>
      </c>
      <c r="B981" t="str">
        <v>Certification Microsoft - Plateforme Windows Universel : AppData, Services et schémas de codage (70-355)</v>
      </c>
      <c r="C981" t="str">
        <v>Microsoft</v>
      </c>
      <c r="D981" t="str">
        <f>HYPERLINK("https://inventaire.cncp.gouv.fr/fiches/2108/","2108")</f>
        <v>2108</v>
      </c>
      <c r="E981" t="str">
        <f>HYPERLINK("http://www.intercariforef.org/formations/certification-95007.html","95007")</f>
        <v>95007</v>
      </c>
      <c r="F981" s="1">
        <v>42838</v>
      </c>
      <c r="G981" s="1">
        <v>42838</v>
      </c>
    </row>
    <row r="982">
      <c r="A982" t="str">
        <v>Informatique</v>
      </c>
      <c r="B982" t="str">
        <v>Certification Microsoft - Provisioning SQL Databases (70-765)</v>
      </c>
      <c r="C982" t="str">
        <v>Microsoft</v>
      </c>
      <c r="D982" t="str">
        <f>HYPERLINK("https://inventaire.cncp.gouv.fr/fiches/3605/","3605")</f>
        <v>3605</v>
      </c>
      <c r="E982" t="str">
        <f>HYPERLINK("http://www.intercariforef.org/formations/certification-102557.html","102557")</f>
        <v>102557</v>
      </c>
      <c r="F982" s="1">
        <v>43298</v>
      </c>
      <c r="G982" s="1">
        <v>43298</v>
      </c>
    </row>
    <row r="983">
      <c r="A983" t="str">
        <v>Informatique</v>
      </c>
      <c r="B983" t="str">
        <v>Certification Microsoft - Querying Data with Transact-SQL (70-761)</v>
      </c>
      <c r="C983" t="str">
        <v>Microsoft</v>
      </c>
      <c r="D983" t="str">
        <f>HYPERLINK("https://inventaire.cncp.gouv.fr/fiches/3598/","3598")</f>
        <v>3598</v>
      </c>
      <c r="E983" t="str">
        <f>HYPERLINK("http://www.intercariforef.org/formations/certification-104007.html","104007")</f>
        <v>104007</v>
      </c>
      <c r="F983" s="1">
        <v>43392</v>
      </c>
      <c r="G983" s="1">
        <v>43392</v>
      </c>
    </row>
    <row r="984">
      <c r="A984" t="str">
        <v>Informatique</v>
      </c>
      <c r="B984" t="str">
        <v>Certification Microsoft - Securing Windows Server 2016 (70-744)</v>
      </c>
      <c r="C984" t="str">
        <v>Microsoft</v>
      </c>
      <c r="D984" t="str">
        <f>HYPERLINK("https://inventaire.cncp.gouv.fr/fiches/3608/","3608")</f>
        <v>3608</v>
      </c>
      <c r="E984" t="str">
        <f>HYPERLINK("http://www.intercariforef.org/formations/certification-104001.html","104001")</f>
        <v>104001</v>
      </c>
      <c r="F984" s="1">
        <v>43392</v>
      </c>
      <c r="G984" s="1">
        <v>43392</v>
      </c>
    </row>
    <row r="985">
      <c r="A985" t="str">
        <v>Informatique</v>
      </c>
      <c r="B985" t="str">
        <v>Certification Microsoft - Solutions de base de Microsoft Exchange serveur 2013 (examen 70-341)</v>
      </c>
      <c r="C985" t="str">
        <v>Microsoft</v>
      </c>
      <c r="D985" t="str">
        <f>HYPERLINK("https://inventaire.cncp.gouv.fr/fiches/368/","368")</f>
        <v>368</v>
      </c>
      <c r="E985" t="str">
        <f>HYPERLINK("http://www.intercariforef.org/formations/certification-84421.html","84421")</f>
        <v>84421</v>
      </c>
      <c r="F985" s="1">
        <v>42109</v>
      </c>
      <c r="G985" s="1">
        <v>42135</v>
      </c>
    </row>
    <row r="986" ht="26.2" customHeight="1">
      <c r="A986" t="str">
        <v>Informatique</v>
      </c>
      <c r="B986" t="str">
        <v>Certification Microsoft - Solutions fondamentales de Microsoft SharePoint Server 2013 (examen 70-331)</v>
      </c>
      <c r="C986" t="str">
        <v>Microsoft</v>
      </c>
      <c r="D986" t="str">
        <f>HYPERLINK("https://inventaire.cncp.gouv.fr/fiches/364/","364")</f>
        <v>364</v>
      </c>
      <c r="E986" t="str">
        <f>HYPERLINK("http://www.intercariforef.org/formations/certification-84415.html","84415")</f>
        <v>84415</v>
      </c>
      <c r="F986" s="1">
        <v>42109</v>
      </c>
      <c r="G986" s="1">
        <v>42135</v>
      </c>
    </row>
    <row r="987">
      <c r="A987" t="str">
        <v>Informatique</v>
      </c>
      <c r="B987" t="str">
        <v>Certification Microsoft administering and deploying System Center 2012 configuration manager</v>
      </c>
      <c r="C987" t="str">
        <v>Microsoft</v>
      </c>
      <c r="D987" t="str">
        <v>99999</v>
      </c>
      <c r="E987" t="str">
        <f>HYPERLINK("http://www.intercariforef.org/formations/certification-84396.html","84396")</f>
        <v>84396</v>
      </c>
      <c r="F987" s="1">
        <v>42109</v>
      </c>
      <c r="G987" s="1">
        <v>42188</v>
      </c>
    </row>
    <row r="988">
      <c r="A988" t="str">
        <v>Informatique</v>
      </c>
      <c r="B988" t="str">
        <v>Certification Microsoft administration de Visual Studio Team Foundation Server</v>
      </c>
      <c r="C988" t="str">
        <v>Microsoft</v>
      </c>
      <c r="D988" t="str">
        <v>99999</v>
      </c>
      <c r="E988" t="str">
        <f>HYPERLINK("http://www.intercariforef.org/formations/certification-84467.html","84467")</f>
        <v>84467</v>
      </c>
      <c r="F988" s="1">
        <v>42109</v>
      </c>
      <c r="G988" s="1">
        <v>42188</v>
      </c>
    </row>
    <row r="989">
      <c r="A989" t="str">
        <v>Informatique</v>
      </c>
      <c r="B989" t="str">
        <v>Certification Microsoft administration d'une base de données SQL Server 2012/2014</v>
      </c>
      <c r="C989" t="str">
        <v>Microsoft</v>
      </c>
      <c r="D989" t="str">
        <v>99999</v>
      </c>
      <c r="E989" t="str">
        <f>HYPERLINK("http://www.intercariforef.org/formations/certification-84458.html","84458")</f>
        <v>84458</v>
      </c>
      <c r="F989" s="1">
        <v>42109</v>
      </c>
      <c r="G989" s="1">
        <v>42718</v>
      </c>
    </row>
    <row r="990">
      <c r="A990" t="str">
        <v>Informatique</v>
      </c>
      <c r="B990" t="str">
        <v>Certification Microsoft architecting Microsoft Azure Solutions (70-535)</v>
      </c>
      <c r="C990" t="str">
        <v>Microsoft</v>
      </c>
      <c r="D990" t="str">
        <f>HYPERLINK("https://inventaire.cncp.gouv.fr/fiches/3990/","3990")</f>
        <v>3990</v>
      </c>
      <c r="E990" t="str">
        <f>HYPERLINK("http://www.intercariforef.org/formations/certification-84477.html","84477")</f>
        <v>84477</v>
      </c>
      <c r="F990" s="1">
        <v>42109</v>
      </c>
      <c r="G990" s="1">
        <v>43347</v>
      </c>
    </row>
    <row r="991" ht="26.2" customHeight="1">
      <c r="A991" t="str">
        <v>Informatique</v>
      </c>
      <c r="B991" t="str">
        <v>Certification Microsoft conception de solutions de business intelligence avec Microsoft SQL Server</v>
      </c>
      <c r="C991" t="str">
        <v>Microsoft</v>
      </c>
      <c r="D991" t="str">
        <v>99999</v>
      </c>
      <c r="E991" t="str">
        <f>HYPERLINK("http://www.intercariforef.org/formations/certification-84472.html","84472")</f>
        <v>84472</v>
      </c>
      <c r="F991" s="1">
        <v>42109</v>
      </c>
      <c r="G991" s="1">
        <v>42718</v>
      </c>
    </row>
    <row r="992" ht="26.2" customHeight="1">
      <c r="A992" t="str">
        <v>Informatique</v>
      </c>
      <c r="B992" t="str">
        <v>Certification Microsoft conception et implémentation d'une infrastructure de serveur (examen 70-413)</v>
      </c>
      <c r="C992" t="str">
        <v>Microsoft</v>
      </c>
      <c r="D992" t="str">
        <f>HYPERLINK("https://inventaire.cncp.gouv.fr/fiches/356/","356")</f>
        <v>356</v>
      </c>
      <c r="E992" t="str">
        <f>HYPERLINK("http://www.intercariforef.org/formations/certification-84443.html","84443")</f>
        <v>84443</v>
      </c>
      <c r="F992" s="1">
        <v>42109</v>
      </c>
      <c r="G992" s="1">
        <v>42135</v>
      </c>
    </row>
    <row r="993">
      <c r="A993" t="str">
        <v>Informatique</v>
      </c>
      <c r="B993" t="str">
        <v>Certification Microsoft concevoir des solutions de base de données pour Microsoft SQL Server</v>
      </c>
      <c r="C993" t="str">
        <v>Microsoft</v>
      </c>
      <c r="D993" t="str">
        <v>99999</v>
      </c>
      <c r="E993" t="str">
        <f>HYPERLINK("http://www.intercariforef.org/formations/certification-84465.html","84465")</f>
        <v>84465</v>
      </c>
      <c r="F993" s="1">
        <v>42109</v>
      </c>
      <c r="G993" s="1">
        <v>42718</v>
      </c>
    </row>
    <row r="994">
      <c r="A994" t="str">
        <v>Informatique</v>
      </c>
      <c r="B994" t="str">
        <v>Certification Microsoft configuration avancée des services Windows Server 2012 (70-412)</v>
      </c>
      <c r="C994" t="str">
        <v>Microsoft</v>
      </c>
      <c r="D994" t="str">
        <f>HYPERLINK("https://inventaire.cncp.gouv.fr/fiches/353/","353")</f>
        <v>353</v>
      </c>
      <c r="E994" t="str">
        <f>HYPERLINK("http://www.intercariforef.org/formations/certification-84441.html","84441")</f>
        <v>84441</v>
      </c>
      <c r="F994" s="1">
        <v>42109</v>
      </c>
      <c r="G994" s="1">
        <v>42135</v>
      </c>
    </row>
    <row r="995">
      <c r="A995" t="str">
        <v>Informatique</v>
      </c>
      <c r="B995" t="str">
        <v>Certification Microsoft configuration de Windows 8.1</v>
      </c>
      <c r="C995" t="str">
        <v>Microsoft</v>
      </c>
      <c r="D995" t="str">
        <v>99999</v>
      </c>
      <c r="E995" t="str">
        <f>HYPERLINK("http://www.intercariforef.org/formations/certification-84479.html","84479")</f>
        <v>84479</v>
      </c>
      <c r="F995" s="1">
        <v>42109</v>
      </c>
      <c r="G995" s="1">
        <v>42188</v>
      </c>
    </row>
    <row r="996">
      <c r="A996" t="str">
        <v>Informatique</v>
      </c>
      <c r="B996" t="str">
        <v>Certification Microsoft configuration et déploiement d'un cloud privé avec System Center 2012</v>
      </c>
      <c r="C996" t="str">
        <v>Microsoft</v>
      </c>
      <c r="D996" t="str">
        <v>99999</v>
      </c>
      <c r="E996" t="str">
        <f>HYPERLINK("http://www.intercariforef.org/formations/certification-84406.html","84406")</f>
        <v>84406</v>
      </c>
      <c r="F996" s="1">
        <v>42109</v>
      </c>
      <c r="G996" s="1">
        <v>42188</v>
      </c>
    </row>
    <row r="997" ht="26.2" customHeight="1">
      <c r="A997" t="str">
        <v>Informatique</v>
      </c>
      <c r="B997" t="str">
        <v>Certification Microsoft création de valeur continue avec Visual Studio application Lifecycle Management</v>
      </c>
      <c r="C997" t="str">
        <v>Microsoft</v>
      </c>
      <c r="D997" t="str">
        <v>99999</v>
      </c>
      <c r="E997" t="str">
        <f>HYPERLINK("http://www.intercariforef.org/formations/certification-84470.html","84470")</f>
        <v>84470</v>
      </c>
      <c r="F997" s="1">
        <v>42109</v>
      </c>
      <c r="G997" s="1">
        <v>42188</v>
      </c>
    </row>
    <row r="998">
      <c r="A998" t="str">
        <v>Informatique</v>
      </c>
      <c r="B998" t="str">
        <v>Certification Microsoft developing Microsoft Azure Solutions (70-532)</v>
      </c>
      <c r="C998" t="str">
        <v>Microsoft</v>
      </c>
      <c r="D998" t="str">
        <f>HYPERLINK("https://inventaire.cncp.gouv.fr/fiches/3984/","3984")</f>
        <v>3984</v>
      </c>
      <c r="E998" t="str">
        <f>HYPERLINK("http://www.intercariforef.org/formations/certification-84471.html","84471")</f>
        <v>84471</v>
      </c>
      <c r="F998" s="1">
        <v>42109</v>
      </c>
      <c r="G998" s="1">
        <v>43347</v>
      </c>
    </row>
    <row r="999">
      <c r="A999" t="str">
        <v>Informatique</v>
      </c>
      <c r="B999" t="str">
        <v>Certification Microsoft développement d'applications avancées Windows Store en utilisant C#</v>
      </c>
      <c r="C999" t="str">
        <v>Microsoft</v>
      </c>
      <c r="D999" t="str">
        <v>99999</v>
      </c>
      <c r="E999" t="str">
        <f>HYPERLINK("http://www.intercariforef.org/formations/certification-84457.html","84457")</f>
        <v>84457</v>
      </c>
      <c r="F999" s="1">
        <v>42109</v>
      </c>
      <c r="G999" s="1">
        <v>42188</v>
      </c>
    </row>
    <row r="1000" ht="26.2" customHeight="1">
      <c r="A1000" t="str">
        <v>Informatique</v>
      </c>
      <c r="B1000" t="str">
        <v>Certification Microsoft développement d'applications avancées Windows Store en utilisant HTML5 et JavaScript</v>
      </c>
      <c r="C1000" t="str">
        <v>Microsoft</v>
      </c>
      <c r="D1000" t="str">
        <v>99999</v>
      </c>
      <c r="E1000" t="str">
        <f>HYPERLINK("http://www.intercariforef.org/formations/certification-84476.html","84476")</f>
        <v>84476</v>
      </c>
      <c r="F1000" s="1">
        <v>42109</v>
      </c>
      <c r="G1000" s="1">
        <v>42188</v>
      </c>
    </row>
    <row r="1001">
      <c r="A1001" t="str">
        <v>Informatique</v>
      </c>
      <c r="B1001" t="str">
        <v>Certification Microsoft développement d'applications Web ASP.NET MVC (70-486)</v>
      </c>
      <c r="C1001" t="str">
        <v>Microsoft</v>
      </c>
      <c r="D1001" t="str">
        <f>HYPERLINK("https://inventaire.cncp.gouv.fr/fiches/3985/","3985")</f>
        <v>3985</v>
      </c>
      <c r="E1001" t="str">
        <f>HYPERLINK("http://www.intercariforef.org/formations/certification-84459.html","84459")</f>
        <v>84459</v>
      </c>
      <c r="F1001" s="1">
        <v>42109</v>
      </c>
      <c r="G1001" s="1">
        <v>43347</v>
      </c>
    </row>
    <row r="1002">
      <c r="A1002" t="str">
        <v>Informatique</v>
      </c>
      <c r="B1002" t="str">
        <v>Certification Microsoft développement de bases de données Microsoft SQL Server</v>
      </c>
      <c r="C1002" t="str">
        <v>Microsoft</v>
      </c>
      <c r="D1002" t="str">
        <v>99999</v>
      </c>
      <c r="E1002" t="str">
        <f>HYPERLINK("http://www.intercariforef.org/formations/certification-84462.html","84462")</f>
        <v>84462</v>
      </c>
      <c r="F1002" s="1">
        <v>42109</v>
      </c>
      <c r="G1002" s="1">
        <v>42718</v>
      </c>
    </row>
    <row r="1003">
      <c r="A1003" t="str">
        <v>Informatique</v>
      </c>
      <c r="B1003" t="str">
        <v>Certification Microsoft développement de solutions avancées Microsoft SharePoint Server 2013</v>
      </c>
      <c r="C1003" t="str">
        <v>Microsoft</v>
      </c>
      <c r="D1003" t="str">
        <v>99999</v>
      </c>
      <c r="E1003" t="str">
        <f>HYPERLINK("http://www.intercariforef.org/formations/certification-84466.html","84466")</f>
        <v>84466</v>
      </c>
      <c r="F1003" s="1">
        <v>42109</v>
      </c>
      <c r="G1003" s="1">
        <v>42188</v>
      </c>
    </row>
    <row r="1004">
      <c r="A1004" t="str">
        <v>Informatique</v>
      </c>
      <c r="B1004" t="str">
        <v>Certification Microsoft développement de solutions Microsoft SharePoint Server 2013</v>
      </c>
      <c r="C1004" t="str">
        <v>Microsoft</v>
      </c>
      <c r="D1004" t="str">
        <v>99999</v>
      </c>
      <c r="E1004" t="str">
        <f>HYPERLINK("http://www.intercariforef.org/formations/certification-84463.html","84463")</f>
        <v>84463</v>
      </c>
      <c r="F1004" s="1">
        <v>42109</v>
      </c>
      <c r="G1004" s="1">
        <v>42188</v>
      </c>
    </row>
    <row r="1005">
      <c r="A1005" t="str">
        <v>Informatique</v>
      </c>
      <c r="B1005" t="str">
        <v>Certification Microsoft développement Microsoft Azure et services web (70-487)</v>
      </c>
      <c r="C1005" t="str">
        <v>Microsoft</v>
      </c>
      <c r="D1005" t="str">
        <f>HYPERLINK("https://inventaire.cncp.gouv.fr/fiches/3989/","3989")</f>
        <v>3989</v>
      </c>
      <c r="E1005" t="str">
        <f>HYPERLINK("http://www.intercariforef.org/formations/certification-84461.html","84461")</f>
        <v>84461</v>
      </c>
      <c r="F1005" s="1">
        <v>42109</v>
      </c>
      <c r="G1005" s="1">
        <v>43347</v>
      </c>
    </row>
    <row r="1006">
      <c r="A1006" t="str">
        <v>Informatique</v>
      </c>
      <c r="B1006" t="str">
        <v>Certification Microsoft enterprise voice and online services with Microsoft Lync Server 2013</v>
      </c>
      <c r="C1006" t="str">
        <v>Microsoft</v>
      </c>
      <c r="D1006" t="str">
        <v>99999</v>
      </c>
      <c r="E1006" t="str">
        <f>HYPERLINK("http://www.intercariforef.org/formations/certification-84420.html","84420")</f>
        <v>84420</v>
      </c>
      <c r="F1006" s="1">
        <v>42109</v>
      </c>
      <c r="G1006" s="1">
        <v>42188</v>
      </c>
    </row>
    <row r="1007">
      <c r="A1007" t="str">
        <v>Informatique</v>
      </c>
      <c r="B1007" t="str">
        <v>Certification Microsoft gestions des identités et services Office 365 (examen 70-346)</v>
      </c>
      <c r="C1007" t="str">
        <v>Microsoft</v>
      </c>
      <c r="D1007" t="str">
        <f>HYPERLINK("https://inventaire.cncp.gouv.fr/fiches/360/","360")</f>
        <v>360</v>
      </c>
      <c r="E1007" t="str">
        <f>HYPERLINK("http://www.intercariforef.org/formations/certification-84428.html","84428")</f>
        <v>84428</v>
      </c>
      <c r="F1007" s="1">
        <v>42109</v>
      </c>
      <c r="G1007" s="1">
        <v>42135</v>
      </c>
    </row>
    <row r="1008">
      <c r="A1008" t="str">
        <v>Informatique</v>
      </c>
      <c r="B1008" t="str">
        <v>Certification Microsoft implémentation d'une infrastructure de bureau</v>
      </c>
      <c r="C1008" t="str">
        <v>Microsoft</v>
      </c>
      <c r="D1008" t="str">
        <v>99999</v>
      </c>
      <c r="E1008" t="str">
        <f>HYPERLINK("http://www.intercariforef.org/formations/certification-84450.html","84450")</f>
        <v>84450</v>
      </c>
      <c r="F1008" s="1">
        <v>42109</v>
      </c>
      <c r="G1008" s="1">
        <v>42188</v>
      </c>
    </row>
    <row r="1009">
      <c r="A1009" t="str">
        <v>Informatique</v>
      </c>
      <c r="B1009" t="str">
        <v>Certification Microsoft implementing Microsoft Azure infrastructure Solutions (70-533)</v>
      </c>
      <c r="C1009" t="str">
        <v>Microsoft</v>
      </c>
      <c r="D1009" t="str">
        <f>HYPERLINK("https://inventaire.cncp.gouv.fr/fiches/3983/","3983")</f>
        <v>3983</v>
      </c>
      <c r="E1009" t="str">
        <f>HYPERLINK("http://www.intercariforef.org/formations/certification-84474.html","84474")</f>
        <v>84474</v>
      </c>
      <c r="F1009" s="1">
        <v>42109</v>
      </c>
      <c r="G1009" s="1">
        <v>43347</v>
      </c>
    </row>
    <row r="1010">
      <c r="A1010" t="str">
        <v>Informatique</v>
      </c>
      <c r="B1010" t="str">
        <v>Certification Microsoft installation et configuration de Windows Server 2012 (70-410)</v>
      </c>
      <c r="C1010" t="str">
        <v>Microsoft</v>
      </c>
      <c r="D1010" t="str">
        <f>HYPERLINK("https://inventaire.cncp.gouv.fr/fiches/325/","325")</f>
        <v>325</v>
      </c>
      <c r="E1010" t="str">
        <f>HYPERLINK("http://www.intercariforef.org/formations/certification-84434.html","84434")</f>
        <v>84434</v>
      </c>
      <c r="F1010" s="1">
        <v>42109</v>
      </c>
      <c r="G1010" s="1">
        <v>42135</v>
      </c>
    </row>
    <row r="1011" ht="26.2" customHeight="1">
      <c r="A1011" t="str">
        <v>Informatique</v>
      </c>
      <c r="B1011" t="str">
        <v>Certification Microsoft mise en oeuvre de modèles de données et de rapports avec Microsoft SQL Server</v>
      </c>
      <c r="C1011" t="str">
        <v>Microsoft</v>
      </c>
      <c r="D1011" t="str">
        <v>99999</v>
      </c>
      <c r="E1011" t="str">
        <f>HYPERLINK("http://www.intercariforef.org/formations/certification-84468.html","84468")</f>
        <v>84468</v>
      </c>
      <c r="F1011" s="1">
        <v>42109</v>
      </c>
      <c r="G1011" s="1">
        <v>42718</v>
      </c>
    </row>
    <row r="1012">
      <c r="A1012" t="str">
        <v>Informatique</v>
      </c>
      <c r="B1012" t="str">
        <v>Certification Microsoft mise en oeuvre d'environnements d'application bureautique</v>
      </c>
      <c r="C1012" t="str">
        <v>Microsoft</v>
      </c>
      <c r="D1012" t="str">
        <v>99999</v>
      </c>
      <c r="E1012" t="str">
        <f>HYPERLINK("http://www.intercariforef.org/formations/certification-84452.html","84452")</f>
        <v>84452</v>
      </c>
      <c r="F1012" s="1">
        <v>42109</v>
      </c>
      <c r="G1012" s="1">
        <v>42188</v>
      </c>
    </row>
    <row r="1013" ht="26.2" customHeight="1">
      <c r="A1013" t="str">
        <v>Informatique</v>
      </c>
      <c r="B1013" t="str">
        <v>Certification Microsoft mise en oeuvre d'un entrepôt de données avec Microsoft SQL Server 2012/2014</v>
      </c>
      <c r="C1013" t="str">
        <v>Microsoft</v>
      </c>
      <c r="D1013" t="str">
        <v>99999</v>
      </c>
      <c r="E1013" t="str">
        <f>HYPERLINK("http://www.intercariforef.org/formations/certification-84460.html","84460")</f>
        <v>84460</v>
      </c>
      <c r="F1013" s="1">
        <v>42109</v>
      </c>
      <c r="G1013" s="1">
        <v>42718</v>
      </c>
    </row>
    <row r="1014">
      <c r="A1014" t="str">
        <v>Informatique</v>
      </c>
      <c r="B1014" t="str">
        <v>Certification Microsoft mise en oeuvre d'une infrastructure de serveurs avancée (examen 70-414)</v>
      </c>
      <c r="C1014" t="str">
        <v>Microsoft</v>
      </c>
      <c r="D1014" t="str">
        <f>HYPERLINK("https://inventaire.cncp.gouv.fr/fiches/357/","357")</f>
        <v>357</v>
      </c>
      <c r="E1014" t="str">
        <f>HYPERLINK("http://www.intercariforef.org/formations/certification-84447.html","84447")</f>
        <v>84447</v>
      </c>
      <c r="F1014" s="1">
        <v>42109</v>
      </c>
      <c r="G1014" s="1">
        <v>42135</v>
      </c>
    </row>
    <row r="1015" ht="26.2" customHeight="1">
      <c r="A1015" t="str">
        <v>Informatique</v>
      </c>
      <c r="B1015" t="str">
        <v>Certification Microsoft principes fondamentaux de développement d'applications Windows Store en utilisant C#</v>
      </c>
      <c r="C1015" t="str">
        <v>Microsoft</v>
      </c>
      <c r="D1015" t="str">
        <v>99999</v>
      </c>
      <c r="E1015" t="str">
        <f>HYPERLINK("http://www.intercariforef.org/formations/certification-84454.html","84454")</f>
        <v>84454</v>
      </c>
      <c r="F1015" s="1">
        <v>42109</v>
      </c>
      <c r="G1015" s="1">
        <v>42188</v>
      </c>
    </row>
    <row r="1016" ht="26.2" customHeight="1">
      <c r="A1016" t="str">
        <v>Informatique</v>
      </c>
      <c r="B1016" t="str">
        <v>Certification Microsoft principes fondamentaux de développement d'applications Windows Store en utilisant HTML5 et JavaScript</v>
      </c>
      <c r="C1016" t="str">
        <v>Microsoft</v>
      </c>
      <c r="D1016" t="str">
        <v>99999</v>
      </c>
      <c r="E1016" t="str">
        <f>HYPERLINK("http://www.intercariforef.org/formations/certification-84475.html","84475")</f>
        <v>84475</v>
      </c>
      <c r="F1016" s="1">
        <v>42109</v>
      </c>
      <c r="G1016" s="1">
        <v>42188</v>
      </c>
    </row>
    <row r="1017">
      <c r="A1017" t="str">
        <v>Informatique</v>
      </c>
      <c r="B1017" t="str">
        <v>Certification Microsoft programmation en C# (70-483)</v>
      </c>
      <c r="C1017" t="str">
        <v>Microsoft</v>
      </c>
      <c r="D1017" t="str">
        <f>HYPERLINK("https://inventaire.cncp.gouv.fr/fiches/3988/","3988")</f>
        <v>3988</v>
      </c>
      <c r="E1017" t="str">
        <f>HYPERLINK("http://www.intercariforef.org/formations/certification-84478.html","84478")</f>
        <v>84478</v>
      </c>
      <c r="F1017" s="1">
        <v>42109</v>
      </c>
      <c r="G1017" s="1">
        <v>43347</v>
      </c>
    </row>
    <row r="1018">
      <c r="A1018" t="str">
        <v>Informatique</v>
      </c>
      <c r="B1018" t="str">
        <v>Certification Microsoft programmation en HTML5 avec JavaScript et CSS3 (70-480)</v>
      </c>
      <c r="C1018" t="str">
        <v>Microsoft</v>
      </c>
      <c r="D1018" t="str">
        <f>HYPERLINK("https://inventaire.cncp.gouv.fr/fiches/3987/","3987")</f>
        <v>3987</v>
      </c>
      <c r="E1018" t="str">
        <f>HYPERLINK("http://www.intercariforef.org/formations/certification-84473.html","84473")</f>
        <v>84473</v>
      </c>
      <c r="F1018" s="1">
        <v>42109</v>
      </c>
      <c r="G1018" s="1">
        <v>43347</v>
      </c>
    </row>
    <row r="1019">
      <c r="A1019" t="str">
        <v>Informatique</v>
      </c>
      <c r="B1019" t="str">
        <v>Certification Microsoft requête SQL Server 2012/2014</v>
      </c>
      <c r="C1019" t="str">
        <v>Microsoft</v>
      </c>
      <c r="D1019" t="str">
        <v>99999</v>
      </c>
      <c r="E1019" t="str">
        <f>HYPERLINK("http://www.intercariforef.org/formations/certification-84455.html","84455")</f>
        <v>84455</v>
      </c>
      <c r="F1019" s="1">
        <v>42109</v>
      </c>
      <c r="G1019" s="1">
        <v>42718</v>
      </c>
    </row>
    <row r="1020">
      <c r="A1020" t="str">
        <v>Informatique</v>
      </c>
      <c r="B1020" t="str">
        <v>Certification Microsoft server virtualization with Windows Server Hyper-V and System Center</v>
      </c>
      <c r="C1020" t="str">
        <v>Microsoft</v>
      </c>
      <c r="D1020" t="str">
        <v>99999</v>
      </c>
      <c r="E1020" t="str">
        <f>HYPERLINK("http://www.intercariforef.org/formations/certification-84432.html","84432")</f>
        <v>84432</v>
      </c>
      <c r="F1020" s="1">
        <v>42109</v>
      </c>
      <c r="G1020" s="1">
        <v>42188</v>
      </c>
    </row>
    <row r="1021">
      <c r="A1021" t="str">
        <v>Informatique</v>
      </c>
      <c r="B1021" t="str">
        <v>Certification Microsoft solutions avancées de Microsoft Exchange Server 2013</v>
      </c>
      <c r="C1021" t="str">
        <v>Microsoft</v>
      </c>
      <c r="D1021" t="str">
        <v>99999</v>
      </c>
      <c r="E1021" t="str">
        <f>HYPERLINK("http://www.intercariforef.org/formations/certification-84423.html","84423")</f>
        <v>84423</v>
      </c>
      <c r="F1021" s="1">
        <v>42109</v>
      </c>
      <c r="G1021" s="1">
        <v>42188</v>
      </c>
    </row>
    <row r="1022">
      <c r="A1022" t="str">
        <v>Informatique</v>
      </c>
      <c r="B1022" t="str">
        <v>Certification Microsoft solutions avancées de Microsoft SharePoint Server 2013</v>
      </c>
      <c r="C1022" t="str">
        <v>Microsoft</v>
      </c>
      <c r="D1022" t="str">
        <v>99999</v>
      </c>
      <c r="E1022" t="str">
        <f>HYPERLINK("http://www.intercariforef.org/formations/certification-84416.html","84416")</f>
        <v>84416</v>
      </c>
      <c r="F1022" s="1">
        <v>42109</v>
      </c>
      <c r="G1022" s="1">
        <v>42188</v>
      </c>
    </row>
    <row r="1023">
      <c r="A1023" t="str">
        <v>Informatique</v>
      </c>
      <c r="B1023" t="str">
        <v>Certification Microsoft solutions fondamentales de Lync Server 2013</v>
      </c>
      <c r="C1023" t="str">
        <v>Microsoft</v>
      </c>
      <c r="D1023" t="str">
        <v>99999</v>
      </c>
      <c r="E1023" t="str">
        <f>HYPERLINK("http://www.intercariforef.org/formations/certification-84419.html","84419")</f>
        <v>84419</v>
      </c>
      <c r="F1023" s="1">
        <v>42109</v>
      </c>
      <c r="G1023" s="1">
        <v>42188</v>
      </c>
    </row>
    <row r="1024">
      <c r="A1024" t="str">
        <v>Informatique</v>
      </c>
      <c r="B1024" t="str">
        <v>Certification Microsoft suivi et exploitation d'un cloud privé avec System Center 2012</v>
      </c>
      <c r="C1024" t="str">
        <v>Microsoft</v>
      </c>
      <c r="D1024" t="str">
        <v>99999</v>
      </c>
      <c r="E1024" t="str">
        <f>HYPERLINK("http://www.intercariforef.org/formations/certification-84403.html","84403")</f>
        <v>84403</v>
      </c>
      <c r="F1024" s="1">
        <v>42109</v>
      </c>
      <c r="G1024" s="1">
        <v>42188</v>
      </c>
    </row>
    <row r="1025">
      <c r="A1025" t="str">
        <v>Informatique</v>
      </c>
      <c r="B1025" t="str">
        <v>Certification Microsoft support de Windows 8.1</v>
      </c>
      <c r="C1025" t="str">
        <v>Microsoft</v>
      </c>
      <c r="D1025" t="str">
        <v>99999</v>
      </c>
      <c r="E1025" t="str">
        <f>HYPERLINK("http://www.intercariforef.org/formations/certification-84480.html","84480")</f>
        <v>84480</v>
      </c>
      <c r="F1025" s="1">
        <v>42109</v>
      </c>
      <c r="G1025" s="1">
        <v>42188</v>
      </c>
    </row>
    <row r="1026">
      <c r="A1026" t="str">
        <v>Informatique</v>
      </c>
      <c r="B1026" t="str">
        <v>Certification Microsoft tests logiciels avec Visual Studio</v>
      </c>
      <c r="C1026" t="str">
        <v>Microsoft</v>
      </c>
      <c r="D1026" t="str">
        <v>99999</v>
      </c>
      <c r="E1026" t="str">
        <f>HYPERLINK("http://www.intercariforef.org/formations/certification-84469.html","84469")</f>
        <v>84469</v>
      </c>
      <c r="F1026" s="1">
        <v>42109</v>
      </c>
      <c r="G1026" s="1">
        <v>42188</v>
      </c>
    </row>
    <row r="1027">
      <c r="A1027" t="str">
        <v>Informatique</v>
      </c>
      <c r="B1027" t="str">
        <v>Certification Microsoft upgrading your skills to MCSA Windows Server 2012</v>
      </c>
      <c r="C1027" t="str">
        <v>Microsoft</v>
      </c>
      <c r="D1027" t="str">
        <v>99999</v>
      </c>
      <c r="E1027" t="str">
        <f>HYPERLINK("http://www.intercariforef.org/formations/certification-84453.html","84453")</f>
        <v>84453</v>
      </c>
      <c r="F1027" s="1">
        <v>42109</v>
      </c>
      <c r="G1027" s="1">
        <v>42188</v>
      </c>
    </row>
    <row r="1028">
      <c r="A1028" t="str">
        <v>Informatique</v>
      </c>
      <c r="B1028" t="str">
        <v>Certification officielle éditeur SAS® Base Advanced Programmer for SAS® 9</v>
      </c>
      <c r="C1028" t="str">
        <v>SAS Institute</v>
      </c>
      <c r="D1028" t="str">
        <f>HYPERLINK("https://inventaire.cncp.gouv.fr/fiches/2421/","2421")</f>
        <v>2421</v>
      </c>
      <c r="E1028" t="str">
        <f>HYPERLINK("http://www.intercariforef.org/formations/certification-94959.html","94959")</f>
        <v>94959</v>
      </c>
      <c r="F1028" s="1">
        <v>42838</v>
      </c>
      <c r="G1028" s="1">
        <v>42838</v>
      </c>
    </row>
    <row r="1029">
      <c r="A1029" t="str">
        <v>Informatique</v>
      </c>
      <c r="B1029" t="str">
        <v>Certification officielle éditeur SAS® Certified Base Programmer for SAS® 9</v>
      </c>
      <c r="C1029" t="str">
        <v>SAS Institute</v>
      </c>
      <c r="D1029" t="str">
        <f>HYPERLINK("https://inventaire.cncp.gouv.fr/fiches/2418/","2418")</f>
        <v>2418</v>
      </c>
      <c r="E1029" t="str">
        <f>HYPERLINK("http://www.intercariforef.org/formations/certification-94961.html","94961")</f>
        <v>94961</v>
      </c>
      <c r="F1029" s="1">
        <v>42838</v>
      </c>
      <c r="G1029" s="1">
        <v>42838</v>
      </c>
    </row>
    <row r="1030">
      <c r="A1030" t="str">
        <v>Informatique</v>
      </c>
      <c r="B1030" t="str">
        <v>Certification officielle éditeur SAS® Predictive Modeler Using SAS Enterprise Miner 13</v>
      </c>
      <c r="C1030" t="str">
        <v>SAS Institute</v>
      </c>
      <c r="D1030" t="str">
        <f>HYPERLINK("https://inventaire.cncp.gouv.fr/fiches/2422/","2422")</f>
        <v>2422</v>
      </c>
      <c r="E1030" t="str">
        <f>HYPERLINK("http://www.intercariforef.org/formations/certification-94957.html","94957")</f>
        <v>94957</v>
      </c>
      <c r="F1030" s="1">
        <v>42838</v>
      </c>
      <c r="G1030" s="1">
        <v>42838</v>
      </c>
    </row>
    <row r="1031">
      <c r="A1031" t="str">
        <v>Informatique</v>
      </c>
      <c r="B1031" t="str">
        <v>Certification PECB - Analyse forensique</v>
      </c>
      <c r="C1031" t="str">
        <v>PECB Groupe</v>
      </c>
      <c r="D1031" t="str">
        <f>HYPERLINK("https://inventaire.cncp.gouv.fr/fiches/3717/","3717")</f>
        <v>3717</v>
      </c>
      <c r="E1031" t="str">
        <f>HYPERLINK("http://www.intercariforef.org/formations/certification-103961.html","103961")</f>
        <v>103961</v>
      </c>
      <c r="F1031" s="1">
        <v>43391</v>
      </c>
      <c r="G1031" s="1">
        <v>43391</v>
      </c>
    </row>
    <row r="1032">
      <c r="A1032" t="str">
        <v>Informatique</v>
      </c>
      <c r="B1032" t="str">
        <v>Certification PECB - Audit de la sécurité des applications</v>
      </c>
      <c r="C1032" t="str">
        <v>PECB Groupe</v>
      </c>
      <c r="D1032" t="str">
        <f>HYPERLINK("https://inventaire.cncp.gouv.fr/fiches/1802/","1802")</f>
        <v>1802</v>
      </c>
      <c r="E1032" t="str">
        <f>HYPERLINK("http://www.intercariforef.org/formations/certification-104053.html","104053")</f>
        <v>104053</v>
      </c>
      <c r="F1032" s="1">
        <v>43392</v>
      </c>
      <c r="G1032" s="1">
        <v>43392</v>
      </c>
    </row>
    <row r="1033">
      <c r="A1033" t="str">
        <v>Informatique</v>
      </c>
      <c r="B1033" t="str">
        <v>Certification PECB - Audit du système de management de la sécurité de l'information</v>
      </c>
      <c r="C1033" t="str">
        <v>PECB Groupe</v>
      </c>
      <c r="D1033" t="str">
        <f>HYPERLINK("https://inventaire.cncp.gouv.fr/fiches/3203/","3203")</f>
        <v>3203</v>
      </c>
      <c r="E1033" t="str">
        <f>HYPERLINK("http://www.intercariforef.org/formations/certification-104041.html","104041")</f>
        <v>104041</v>
      </c>
      <c r="F1033" s="1">
        <v>43392</v>
      </c>
      <c r="G1033" s="1">
        <v>43392</v>
      </c>
    </row>
    <row r="1034">
      <c r="A1034" t="str">
        <v>Informatique</v>
      </c>
      <c r="B1034" t="str">
        <v>Certification PECB - Conception et mise en oeuvre des tests d'intrusion</v>
      </c>
      <c r="C1034" t="str">
        <v>PECB Groupe</v>
      </c>
      <c r="D1034" t="str">
        <f>HYPERLINK("https://inventaire.cncp.gouv.fr/fiches/3716/","3716")</f>
        <v>3716</v>
      </c>
      <c r="E1034" t="str">
        <f>HYPERLINK("http://www.intercariforef.org/formations/certification-103963.html","103963")</f>
        <v>103963</v>
      </c>
      <c r="F1034" s="1">
        <v>43391</v>
      </c>
      <c r="G1034" s="1">
        <v>43391</v>
      </c>
    </row>
    <row r="1035">
      <c r="A1035" t="str">
        <v>Informatique</v>
      </c>
      <c r="B1035" t="str">
        <v>Certification PECB - Fondamentaux de la sécurité des applications</v>
      </c>
      <c r="C1035" t="str">
        <v>PECB Groupe</v>
      </c>
      <c r="D1035" t="str">
        <f>HYPERLINK("https://inventaire.cncp.gouv.fr/fiches/1804/","1804")</f>
        <v>1804</v>
      </c>
      <c r="E1035" t="str">
        <f>HYPERLINK("http://www.intercariforef.org/formations/certification-104049.html","104049")</f>
        <v>104049</v>
      </c>
      <c r="F1035" s="1">
        <v>43392</v>
      </c>
      <c r="G1035" s="1">
        <v>43392</v>
      </c>
    </row>
    <row r="1036">
      <c r="A1036" t="str">
        <v>Informatique</v>
      </c>
      <c r="B1036" t="str">
        <v>Certification PECB - Fondamentaux du management de la sécurité de l'information</v>
      </c>
      <c r="C1036" t="str">
        <v>PECB Groupe</v>
      </c>
      <c r="D1036" t="str">
        <f>HYPERLINK("https://inventaire.cncp.gouv.fr/fiches/3204/","3204")</f>
        <v>3204</v>
      </c>
      <c r="E1036" t="str">
        <f>HYPERLINK("http://www.intercariforef.org/formations/certification-104039.html","104039")</f>
        <v>104039</v>
      </c>
      <c r="F1036" s="1">
        <v>43392</v>
      </c>
      <c r="G1036" s="1">
        <v>43392</v>
      </c>
    </row>
    <row r="1037">
      <c r="A1037" t="str">
        <v>Informatique</v>
      </c>
      <c r="B1037" t="str">
        <v>Certification PECB - Mise en oeuvre de la sécurité des applications</v>
      </c>
      <c r="C1037" t="str">
        <v>PECB Groupe</v>
      </c>
      <c r="D1037" t="str">
        <f>HYPERLINK("https://inventaire.cncp.gouv.fr/fiches/1803/","1803")</f>
        <v>1803</v>
      </c>
      <c r="E1037" t="str">
        <f>HYPERLINK("http://www.intercariforef.org/formations/certification-104051.html","104051")</f>
        <v>104051</v>
      </c>
      <c r="F1037" s="1">
        <v>43392</v>
      </c>
      <c r="G1037" s="1">
        <v>43392</v>
      </c>
    </row>
    <row r="1038">
      <c r="A1038" t="str">
        <v>Informatique</v>
      </c>
      <c r="B1038" t="str">
        <v>Certification PECB - Mise en oeuvre du système de management de la sécurité de l'information</v>
      </c>
      <c r="C1038" t="str">
        <v>PECB Groupe</v>
      </c>
      <c r="D1038" t="str">
        <f>HYPERLINK("https://inventaire.cncp.gouv.fr/fiches/3177/","3177")</f>
        <v>3177</v>
      </c>
      <c r="E1038" t="str">
        <f>HYPERLINK("http://www.intercariforef.org/formations/certification-104047.html","104047")</f>
        <v>104047</v>
      </c>
      <c r="F1038" s="1">
        <v>43392</v>
      </c>
      <c r="G1038" s="1">
        <v>43392</v>
      </c>
    </row>
    <row r="1039">
      <c r="A1039" t="str">
        <v>Informatique</v>
      </c>
      <c r="B1039" t="str">
        <v>Certification PECB - Protection des données personnelles</v>
      </c>
      <c r="C1039" t="str">
        <v>PECB Groupe</v>
      </c>
      <c r="D1039" t="str">
        <f>HYPERLINK("https://inventaire.cncp.gouv.fr/fiches/3675/","3675")</f>
        <v>3675</v>
      </c>
      <c r="E1039" t="str">
        <f>HYPERLINK("http://www.intercariforef.org/formations/certification-103997.html","103997")</f>
        <v>103997</v>
      </c>
      <c r="F1039" s="1">
        <v>43392</v>
      </c>
      <c r="G1039" s="1">
        <v>43392</v>
      </c>
    </row>
    <row r="1040">
      <c r="A1040" t="str">
        <v>Informatique</v>
      </c>
      <c r="B1040" t="str">
        <v>Certification PECB - Sécurité de l'information</v>
      </c>
      <c r="C1040" t="str">
        <v>PECB Groupe</v>
      </c>
      <c r="D1040" t="str">
        <f>HYPERLINK("https://inventaire.cncp.gouv.fr/fiches/3211/","3211")</f>
        <v>3211</v>
      </c>
      <c r="E1040" t="str">
        <f>HYPERLINK("http://www.intercariforef.org/formations/certification-104035.html","104035")</f>
        <v>104035</v>
      </c>
      <c r="F1040" s="1">
        <v>43392</v>
      </c>
      <c r="G1040" s="1">
        <v>43392</v>
      </c>
    </row>
    <row r="1041">
      <c r="A1041" t="str">
        <v>Informatique</v>
      </c>
      <c r="B1041" t="str">
        <v>Certification PLMA - Administrer la plateforme DocDokuPLM</v>
      </c>
      <c r="C1041" t="str">
        <v>DocDoku</v>
      </c>
      <c r="D1041" t="str">
        <f>HYPERLINK("https://inventaire.cncp.gouv.fr/fiches/2069/","2069")</f>
        <v>2069</v>
      </c>
      <c r="E1041" t="str">
        <f>HYPERLINK("http://www.intercariforef.org/formations/certification-92155.html","92155")</f>
        <v>92155</v>
      </c>
      <c r="F1041" s="1">
        <v>42667</v>
      </c>
      <c r="G1041" s="1">
        <v>42718</v>
      </c>
    </row>
    <row r="1042">
      <c r="A1042" t="str">
        <v>Informatique</v>
      </c>
      <c r="B1042" t="str">
        <v>Certification PLMU - Utiliser la plateforme DocDokuPLM</v>
      </c>
      <c r="C1042" t="str">
        <v>DocDoku</v>
      </c>
      <c r="D1042" t="str">
        <f>HYPERLINK("https://inventaire.cncp.gouv.fr/fiches/1994/","1994")</f>
        <v>1994</v>
      </c>
      <c r="E1042" t="str">
        <f>HYPERLINK("http://www.intercariforef.org/formations/certification-92107.html","92107")</f>
        <v>92107</v>
      </c>
      <c r="F1042" s="1">
        <v>42667</v>
      </c>
      <c r="G1042" s="1">
        <v>42718</v>
      </c>
    </row>
    <row r="1043">
      <c r="A1043" t="str">
        <v>Informatique</v>
      </c>
      <c r="B1043" t="str">
        <v>Certification Pro Ableton Live</v>
      </c>
      <c r="C1043" t="str">
        <v>Groupement d'intérêt économique (GIE) - Certification Audionumérique</v>
      </c>
      <c r="D1043" t="str">
        <f>HYPERLINK("https://inventaire.cncp.gouv.fr/fiches/3972/","3972")</f>
        <v>3972</v>
      </c>
      <c r="E1043" t="str">
        <f>HYPERLINK("http://www.intercariforef.org/formations/certification-104109.html","104109")</f>
        <v>104109</v>
      </c>
      <c r="F1043" s="1">
        <v>43398</v>
      </c>
      <c r="G1043" s="1">
        <v>43398</v>
      </c>
    </row>
    <row r="1044">
      <c r="A1044" t="str">
        <v>Informatique</v>
      </c>
      <c r="B1044" t="str">
        <v>Certification Red Hat Linux - RHCE</v>
      </c>
      <c r="C1044" t="str">
        <v>Red Hat France</v>
      </c>
      <c r="D1044" t="str">
        <f>HYPERLINK("https://inventaire.cncp.gouv.fr/fiches/2602/","2602")</f>
        <v>2602</v>
      </c>
      <c r="E1044" t="str">
        <f>HYPERLINK("http://www.intercariforef.org/formations/certification-96619.html","96619")</f>
        <v>96619</v>
      </c>
      <c r="F1044" s="1">
        <v>42929</v>
      </c>
      <c r="G1044" s="1">
        <v>42929</v>
      </c>
    </row>
    <row r="1045">
      <c r="A1045" t="str">
        <v>Informatique</v>
      </c>
      <c r="B1045" t="str">
        <v>Certification Red Hat Linux - RHCSA</v>
      </c>
      <c r="C1045" t="str">
        <v>Red Hat France</v>
      </c>
      <c r="D1045" t="str">
        <f>HYPERLINK("https://inventaire.cncp.gouv.fr/fiches/2582/","2582")</f>
        <v>2582</v>
      </c>
      <c r="E1045" t="str">
        <f>HYPERLINK("http://www.intercariforef.org/formations/certification-95657.html","95657")</f>
        <v>95657</v>
      </c>
      <c r="F1045" s="1">
        <v>42893</v>
      </c>
      <c r="G1045" s="1">
        <v>42893</v>
      </c>
    </row>
    <row r="1046">
      <c r="A1046" t="str">
        <v>Informatique</v>
      </c>
      <c r="B1046" t="str">
        <v>Certification RU Digital - Compétences et aptitudes digitales</v>
      </c>
      <c r="C1046" t="str">
        <v>SBT Scientific Brain Training</v>
      </c>
      <c r="D1046" t="str">
        <f>HYPERLINK("https://inventaire.cncp.gouv.fr/fiches/2747/","2747")</f>
        <v>2747</v>
      </c>
      <c r="E1046" t="str">
        <f>HYPERLINK("http://www.intercariforef.org/formations/certification-96575.html","96575")</f>
        <v>96575</v>
      </c>
      <c r="F1046" s="1">
        <v>42928</v>
      </c>
      <c r="G1046" s="1">
        <v>42928</v>
      </c>
    </row>
    <row r="1047" ht="26.2" customHeight="1">
      <c r="A1047" t="str">
        <v>Informatique</v>
      </c>
      <c r="B1047" t="str">
        <v>Certification THETRAWIN, maîtrise de la solution logicielle de gestion immobilière - Métier de la gérance</v>
      </c>
      <c r="C1047" t="str">
        <v>SEIITRA réseau</v>
      </c>
      <c r="D1047" t="str">
        <f>HYPERLINK("https://inventaire.cncp.gouv.fr/fiches/3547/","3547")</f>
        <v>3547</v>
      </c>
      <c r="E1047" t="str">
        <f>HYPERLINK("http://www.intercariforef.org/formations/certification-100535.html","100535")</f>
        <v>100535</v>
      </c>
      <c r="F1047" s="1">
        <v>43187</v>
      </c>
      <c r="G1047" s="1">
        <v>43187</v>
      </c>
    </row>
    <row r="1048" ht="26.2" customHeight="1">
      <c r="A1048" t="str">
        <v>Informatique</v>
      </c>
      <c r="B1048" t="str">
        <v>Certification THETRAWIN, maîtrise de la solution logicielle de gestion immobilière - Métier de syndic</v>
      </c>
      <c r="C1048" t="str">
        <v>SEIITRA réseau</v>
      </c>
      <c r="D1048" t="str">
        <f>HYPERLINK("https://inventaire.cncp.gouv.fr/fiches/3082/","3082")</f>
        <v>3082</v>
      </c>
      <c r="E1048" t="str">
        <f>HYPERLINK("http://www.intercariforef.org/formations/certification-100727.html","100727")</f>
        <v>100727</v>
      </c>
      <c r="F1048" s="1">
        <v>43200</v>
      </c>
      <c r="G1048" s="1">
        <v>43200</v>
      </c>
    </row>
    <row r="1049">
      <c r="A1049" t="str">
        <v>Informatique</v>
      </c>
      <c r="B1049" t="str">
        <v>Certification UX-PM</v>
      </c>
      <c r="C1049" t="str">
        <v>UXalliance</v>
      </c>
      <c r="D1049" t="str">
        <f>HYPERLINK("https://inventaire.cncp.gouv.fr/fiches/2447/","2447")</f>
        <v>2447</v>
      </c>
      <c r="E1049" t="str">
        <f>HYPERLINK("http://www.intercariforef.org/formations/certification-97511.html","97511")</f>
        <v>97511</v>
      </c>
      <c r="F1049" s="1">
        <v>43003</v>
      </c>
      <c r="G1049" s="1">
        <v>43003</v>
      </c>
    </row>
    <row r="1050">
      <c r="A1050" t="str">
        <v>Informatique</v>
      </c>
      <c r="B1050" t="str">
        <v>Certification VMware VCP-DCV - VMware Certified Professional DataCenter Virtualisation</v>
      </c>
      <c r="C1050" t="str">
        <v>VMware</v>
      </c>
      <c r="D1050" t="str">
        <f>HYPERLINK("https://inventaire.cncp.gouv.fr/fiches/69/","69")</f>
        <v>69</v>
      </c>
      <c r="E1050" t="str">
        <f>HYPERLINK("http://www.intercariforef.org/formations/certification-84979.html","84979")</f>
        <v>84979</v>
      </c>
      <c r="F1050" s="1">
        <v>42178</v>
      </c>
      <c r="G1050" s="1">
        <v>42718</v>
      </c>
    </row>
    <row r="1051">
      <c r="A1051" t="str">
        <v>Informatique</v>
      </c>
      <c r="B1051" t="str">
        <v>Certification VMware VCP-DT - VMware Certified Professional DeskTop</v>
      </c>
      <c r="C1051" t="str">
        <v>VMware</v>
      </c>
      <c r="D1051" t="str">
        <f>HYPERLINK("https://inventaire.cncp.gouv.fr/fiches/94/","94")</f>
        <v>94</v>
      </c>
      <c r="E1051" t="str">
        <f>HYPERLINK("http://www.intercariforef.org/formations/certification-84980.html","84980")</f>
        <v>84980</v>
      </c>
      <c r="F1051" s="1">
        <v>42178</v>
      </c>
      <c r="G1051" s="1">
        <v>42718</v>
      </c>
    </row>
    <row r="1052">
      <c r="A1052" t="str">
        <v>Informatique</v>
      </c>
      <c r="B1052" t="str">
        <v>Certification WebForce3 - techniques de développement Web</v>
      </c>
      <c r="C1052" t="str">
        <v>WebForce3</v>
      </c>
      <c r="D1052" t="str">
        <f>HYPERLINK("https://inventaire.cncp.gouv.fr/fiches/1448/","1448")</f>
        <v>1448</v>
      </c>
      <c r="E1052" t="str">
        <f>HYPERLINK("http://www.intercariforef.org/formations/certification-86353.html","86353")</f>
        <v>86353</v>
      </c>
      <c r="F1052" s="1">
        <v>42340</v>
      </c>
      <c r="G1052" s="1">
        <v>42718</v>
      </c>
    </row>
    <row r="1053">
      <c r="A1053" t="str">
        <v>Informatique</v>
      </c>
      <c r="B1053" t="str">
        <v>Certification WebForce3 - techniques d'intégration Web</v>
      </c>
      <c r="C1053" t="str">
        <v>WebForce3</v>
      </c>
      <c r="D1053" t="str">
        <f>HYPERLINK("https://inventaire.cncp.gouv.fr/fiches/1447/","1447")</f>
        <v>1447</v>
      </c>
      <c r="E1053" t="str">
        <f>HYPERLINK("http://www.intercariforef.org/formations/certification-86352.html","86352")</f>
        <v>86352</v>
      </c>
      <c r="F1053" s="1">
        <v>42340</v>
      </c>
      <c r="G1053" s="1">
        <v>42718</v>
      </c>
    </row>
    <row r="1054">
      <c r="A1054" t="str">
        <v>Informatique</v>
      </c>
      <c r="B1054" t="str">
        <v>CFTL ISTQB Testeur certifié niveau fondation</v>
      </c>
      <c r="C1054" t="str">
        <v>Global Association for Software Quality</v>
      </c>
      <c r="D1054" t="str">
        <f>HYPERLINK("https://inventaire.cncp.gouv.fr/fiches/1822/","1822")</f>
        <v>1822</v>
      </c>
      <c r="E1054" t="str">
        <f>HYPERLINK("http://www.intercariforef.org/formations/certification-93991.html","93991")</f>
        <v>93991</v>
      </c>
      <c r="F1054" s="1">
        <v>42745</v>
      </c>
      <c r="G1054" s="1">
        <v>42745</v>
      </c>
    </row>
    <row r="1055" ht="26.2" customHeight="1">
      <c r="A1055" t="str">
        <v>Informatique</v>
      </c>
      <c r="B1055" t="str">
        <v>Chef de Projet Cloud Computing</v>
      </c>
      <c r="C1055" t="str">
        <v>CPNE des bureaux d'études techniques, cabinets d'ingénieurs conseils et sociétés de conseils, Institut supérieur d'électronique de Paris (ISEP)</v>
      </c>
      <c r="D1055" t="str">
        <f>HYPERLINK("https://inventaire.cncp.gouv.fr/fiches/889/","889")</f>
        <v>889</v>
      </c>
      <c r="E1055" t="str">
        <f>HYPERLINK("http://www.intercariforef.org/formations/certification-85588.html","85588")</f>
        <v>85588</v>
      </c>
      <c r="F1055" s="1">
        <v>42269</v>
      </c>
      <c r="G1055" s="1">
        <v>42269</v>
      </c>
    </row>
    <row r="1056">
      <c r="A1056" t="str">
        <v>Informatique</v>
      </c>
      <c r="B1056" t="str">
        <v>Coder et déployer une application web simple</v>
      </c>
      <c r="C1056" t="str">
        <v>Simplon.co</v>
      </c>
      <c r="D1056" t="str">
        <f>HYPERLINK("https://inventaire.cncp.gouv.fr/fiches/2077/","2077")</f>
        <v>2077</v>
      </c>
      <c r="E1056" t="str">
        <f>HYPERLINK("http://www.intercariforef.org/formations/certification-90035.html","90035")</f>
        <v>90035</v>
      </c>
      <c r="F1056" s="1">
        <v>42558</v>
      </c>
      <c r="G1056" s="1">
        <v>42718</v>
      </c>
    </row>
    <row r="1057">
      <c r="A1057" t="str">
        <v>Informatique</v>
      </c>
      <c r="B1057" t="str">
        <v>Community management</v>
      </c>
      <c r="C1057" t="str">
        <v>Zig Zag Marketing</v>
      </c>
      <c r="D1057" t="str">
        <f>HYPERLINK("https://inventaire.cncp.gouv.fr/fiches/3434/","3434")</f>
        <v>3434</v>
      </c>
      <c r="E1057" t="str">
        <f>HYPERLINK("http://www.intercariforef.org/formations/certification-103979.html","103979")</f>
        <v>103979</v>
      </c>
      <c r="F1057" s="1">
        <v>43391</v>
      </c>
      <c r="G1057" s="1">
        <v>43391</v>
      </c>
    </row>
    <row r="1058" ht="26.2" customHeight="1">
      <c r="A1058" t="str">
        <v>Informatique</v>
      </c>
      <c r="B1058" t="str">
        <v>Concepteur de Solution Cloud Computing</v>
      </c>
      <c r="C1058" t="str">
        <v>CPNE des bureaux d'études techniques, cabinets d'ingénieurs conseils et sociétés de conseils, Institut supérieur d'électronique de Paris (ISEP)</v>
      </c>
      <c r="D1058" t="str">
        <f>HYPERLINK("https://inventaire.cncp.gouv.fr/fiches/861/","861")</f>
        <v>861</v>
      </c>
      <c r="E1058" t="str">
        <f>HYPERLINK("http://www.intercariforef.org/formations/certification-85589.html","85589")</f>
        <v>85589</v>
      </c>
      <c r="F1058" s="1">
        <v>42269</v>
      </c>
      <c r="G1058" s="1">
        <v>42269</v>
      </c>
    </row>
    <row r="1059">
      <c r="A1059" t="str">
        <v>Informatique</v>
      </c>
      <c r="B1059" t="str">
        <v>Conception et pilotage d'un projet web éditorial</v>
      </c>
      <c r="C1059" t="str">
        <v>Institut national de l'audiovisuel (INA)</v>
      </c>
      <c r="D1059" t="str">
        <f>HYPERLINK("https://inventaire.cncp.gouv.fr/fiches/2020/","2020")</f>
        <v>2020</v>
      </c>
      <c r="E1059" t="str">
        <f>HYPERLINK("http://www.intercariforef.org/formations/certification-90061.html","90061")</f>
        <v>90061</v>
      </c>
      <c r="F1059" s="1">
        <v>42558</v>
      </c>
      <c r="G1059" s="1">
        <v>42558</v>
      </c>
    </row>
    <row r="1060">
      <c r="A1060" t="str">
        <v>Informatique</v>
      </c>
      <c r="B1060" t="str">
        <v>Concevoir et modéliser des applications informatiques</v>
      </c>
      <c r="C1060" t="str">
        <v>FITEC</v>
      </c>
      <c r="D1060" t="str">
        <f>HYPERLINK("https://inventaire.cncp.gouv.fr/fiches/3194/","3194")</f>
        <v>3194</v>
      </c>
      <c r="E1060" t="str">
        <f>HYPERLINK("http://www.intercariforef.org/formations/certification-100187.html","100187")</f>
        <v>100187</v>
      </c>
      <c r="F1060" s="1">
        <v>43154</v>
      </c>
      <c r="G1060" s="1">
        <v>43154</v>
      </c>
    </row>
    <row r="1061">
      <c r="A1061" t="str">
        <v>Informatique</v>
      </c>
      <c r="B1061" t="str">
        <v>Concevoir et piloter une stratégie de communication</v>
      </c>
      <c r="C1061" t="str">
        <v>Centre de formation et de perfectionnement des journalistes</v>
      </c>
      <c r="D1061" t="str">
        <f>HYPERLINK("https://inventaire.cncp.gouv.fr/fiches/2845/","2845")</f>
        <v>2845</v>
      </c>
      <c r="E1061" t="str">
        <f>HYPERLINK("http://www.intercariforef.org/formations/certification-96563.html","96563")</f>
        <v>96563</v>
      </c>
      <c r="F1061" s="1">
        <v>42928</v>
      </c>
      <c r="G1061" s="1">
        <v>42928</v>
      </c>
    </row>
    <row r="1062">
      <c r="A1062" t="str">
        <v>Informatique</v>
      </c>
      <c r="B1062" t="str">
        <v>Concevoir et piloter une stratégie de communication de marque</v>
      </c>
      <c r="C1062" t="str">
        <v>Centre de formation et de perfectionnement des journalistes</v>
      </c>
      <c r="D1062" t="str">
        <f>HYPERLINK("https://inventaire.cncp.gouv.fr/fiches/2844/","2844")</f>
        <v>2844</v>
      </c>
      <c r="E1062" t="str">
        <f>HYPERLINK("http://www.intercariforef.org/formations/certification-96565.html","96565")</f>
        <v>96565</v>
      </c>
      <c r="F1062" s="1">
        <v>42928</v>
      </c>
      <c r="G1062" s="1">
        <v>42928</v>
      </c>
    </row>
    <row r="1063">
      <c r="A1063" t="str">
        <v>Informatique</v>
      </c>
      <c r="B1063" t="str">
        <v>Concevoir et piloter une stratégie social media</v>
      </c>
      <c r="C1063" t="str">
        <v>Centre de formation et de perfectionnement des journalistes</v>
      </c>
      <c r="D1063" t="str">
        <f>HYPERLINK("https://inventaire.cncp.gouv.fr/fiches/2846/","2846")</f>
        <v>2846</v>
      </c>
      <c r="E1063" t="str">
        <f>HYPERLINK("http://www.intercariforef.org/formations/certification-96561.html","96561")</f>
        <v>96561</v>
      </c>
      <c r="F1063" s="1">
        <v>42928</v>
      </c>
      <c r="G1063" s="1">
        <v>42928</v>
      </c>
    </row>
    <row r="1064">
      <c r="A1064" t="str">
        <v>Informatique</v>
      </c>
      <c r="B1064" t="str">
        <v>Conduire un projet de sciences de données</v>
      </c>
      <c r="C1064" t="str">
        <v>Ecole polytechnique</v>
      </c>
      <c r="D1064" t="str">
        <f>HYPERLINK("https://inventaire.cncp.gouv.fr/fiches/1527/","1527")</f>
        <v>1527</v>
      </c>
      <c r="E1064" t="str">
        <f>HYPERLINK("http://www.intercariforef.org/formations/certification-87569.html","87569")</f>
        <v>87569</v>
      </c>
      <c r="F1064" s="1">
        <v>42412</v>
      </c>
      <c r="G1064" s="1">
        <v>42718</v>
      </c>
    </row>
    <row r="1065">
      <c r="A1065" t="str">
        <v>Informatique</v>
      </c>
      <c r="B1065" t="str">
        <v>Conduire un projet informatique</v>
      </c>
      <c r="C1065" t="str">
        <v>Centre de formation innovation en systèmes d'information</v>
      </c>
      <c r="D1065" t="str">
        <f>HYPERLINK("https://inventaire.cncp.gouv.fr/fiches/3057/","3057")</f>
        <v>3057</v>
      </c>
      <c r="E1065" t="str">
        <f>HYPERLINK("http://www.intercariforef.org/formations/certification-99053.html","99053")</f>
        <v>99053</v>
      </c>
      <c r="F1065" s="1">
        <v>43069</v>
      </c>
      <c r="G1065" s="1">
        <v>43069</v>
      </c>
    </row>
    <row r="1066">
      <c r="A1066" t="str">
        <v>Informatique</v>
      </c>
      <c r="B1066" t="str">
        <v>Conduite de projet modélisation</v>
      </c>
      <c r="C1066" t="str">
        <v>M2I Formation</v>
      </c>
      <c r="D1066" t="str">
        <f>HYPERLINK("https://inventaire.cncp.gouv.fr/fiches/2672/","2672")</f>
        <v>2672</v>
      </c>
      <c r="E1066" t="str">
        <f>HYPERLINK("http://www.intercariforef.org/formations/certification-94977.html","94977")</f>
        <v>94977</v>
      </c>
      <c r="F1066" s="1">
        <v>42838</v>
      </c>
      <c r="G1066" s="1">
        <v>42838</v>
      </c>
    </row>
    <row r="1067">
      <c r="A1067" t="str">
        <v>Informatique</v>
      </c>
      <c r="B1067" t="str">
        <v>Création de site web et ecommerce - Bases techniques (CP FFP )</v>
      </c>
      <c r="C1067" t="str">
        <v>Créa image communication</v>
      </c>
      <c r="D1067" t="str">
        <f>HYPERLINK("https://inventaire.cncp.gouv.fr/fiches/3726/","3726")</f>
        <v>3726</v>
      </c>
      <c r="E1067" t="str">
        <f>HYPERLINK("http://www.intercariforef.org/formations/certification-104157.html","104157")</f>
        <v>104157</v>
      </c>
      <c r="F1067" s="1">
        <v>43398</v>
      </c>
      <c r="G1067" s="1">
        <v>43398</v>
      </c>
    </row>
    <row r="1068">
      <c r="A1068" t="str">
        <v>Informatique</v>
      </c>
      <c r="B1068" t="str">
        <v>Créer et gérer un projet web</v>
      </c>
      <c r="C1068" t="str">
        <v>Centre de formation et de perfectionnement des journalistes</v>
      </c>
      <c r="D1068" t="str">
        <f>HYPERLINK("https://inventaire.cncp.gouv.fr/fiches/2149/","2149")</f>
        <v>2149</v>
      </c>
      <c r="E1068" t="str">
        <f>HYPERLINK("http://www.intercariforef.org/formations/certification-90069.html","90069")</f>
        <v>90069</v>
      </c>
      <c r="F1068" s="1">
        <v>42559</v>
      </c>
      <c r="G1068" s="1">
        <v>42718</v>
      </c>
    </row>
    <row r="1069">
      <c r="A1069" t="str">
        <v>Informatique</v>
      </c>
      <c r="B1069" t="str">
        <v>Créer et gérer une communauté sur le web</v>
      </c>
      <c r="C1069" t="str">
        <v>Centre de formation et de perfectionnement des journalistes</v>
      </c>
      <c r="D1069" t="str">
        <f>HYPERLINK("https://inventaire.cncp.gouv.fr/fiches/2146/","2146")</f>
        <v>2146</v>
      </c>
      <c r="E1069" t="str">
        <f>HYPERLINK("http://www.intercariforef.org/formations/certification-90071.html","90071")</f>
        <v>90071</v>
      </c>
      <c r="F1069" s="1">
        <v>42559</v>
      </c>
      <c r="G1069" s="1">
        <v>42718</v>
      </c>
    </row>
    <row r="1070">
      <c r="A1070" t="str">
        <v>Informatique</v>
      </c>
      <c r="B1070" t="str">
        <v>Créer son site internet avec WordPress</v>
      </c>
      <c r="C1070" t="str">
        <v>LiveMentor</v>
      </c>
      <c r="D1070" t="str">
        <f>HYPERLINK("https://inventaire.cncp.gouv.fr/fiches/3504/","3504")</f>
        <v>3504</v>
      </c>
      <c r="E1070" t="str">
        <f>HYPERLINK("http://www.intercariforef.org/formations/certification-100647.html","100647")</f>
        <v>100647</v>
      </c>
      <c r="F1070" s="1">
        <v>43194</v>
      </c>
      <c r="G1070" s="1">
        <v>43194</v>
      </c>
    </row>
    <row r="1071">
      <c r="A1071" t="str">
        <v>Informatique</v>
      </c>
      <c r="B1071" t="str">
        <v>Créer, utiliser et référencer un site WordPress e-commerce avec Woocommerce</v>
      </c>
      <c r="C1071" t="str">
        <v>WPFormation</v>
      </c>
      <c r="D1071" t="str">
        <f>HYPERLINK("https://inventaire.cncp.gouv.fr/fiches/3291/","3291")</f>
        <v>3291</v>
      </c>
      <c r="E1071" t="str">
        <f>HYPERLINK("http://www.intercariforef.org/formations/certification-101197.html","101197")</f>
        <v>101197</v>
      </c>
      <c r="F1071" s="1">
        <v>43250</v>
      </c>
      <c r="G1071" s="1">
        <v>43250</v>
      </c>
    </row>
    <row r="1072">
      <c r="A1072" t="str">
        <v>Informatique</v>
      </c>
      <c r="B1072" t="str">
        <v>Cybersécurité</v>
      </c>
      <c r="C1072" t="str">
        <v>EUROSAE</v>
      </c>
      <c r="D1072" t="str">
        <f>HYPERLINK("https://inventaire.cncp.gouv.fr/fiches/1598/","1598")</f>
        <v>1598</v>
      </c>
      <c r="E1072" t="str">
        <f>HYPERLINK("http://www.intercariforef.org/formations/certification-87549.html","87549")</f>
        <v>87549</v>
      </c>
      <c r="F1072" s="1">
        <v>42412</v>
      </c>
      <c r="G1072" s="1">
        <v>42718</v>
      </c>
    </row>
    <row r="1073">
      <c r="A1073" t="str">
        <v>Informatique</v>
      </c>
      <c r="B1073" t="str">
        <v>DATA - Développer une base de données</v>
      </c>
      <c r="C1073" t="str">
        <v>Simplon.co</v>
      </c>
      <c r="D1073" t="str">
        <f>HYPERLINK("https://inventaire.cncp.gouv.fr/fiches/3497/","3497")</f>
        <v>3497</v>
      </c>
      <c r="E1073" t="str">
        <f>HYPERLINK("http://www.intercariforef.org/formations/certification-101553.html","101553")</f>
        <v>101553</v>
      </c>
      <c r="F1073" s="1">
        <v>43271</v>
      </c>
      <c r="G1073" s="1">
        <v>43271</v>
      </c>
    </row>
    <row r="1074">
      <c r="A1074" t="str">
        <v>Informatique</v>
      </c>
      <c r="B1074" t="str">
        <v>DATA - Exploiter une base de données</v>
      </c>
      <c r="C1074" t="str">
        <v>Simplon.co</v>
      </c>
      <c r="D1074" t="str">
        <f>HYPERLINK("https://inventaire.cncp.gouv.fr/fiches/3508/","3508")</f>
        <v>3508</v>
      </c>
      <c r="E1074" t="str">
        <f>HYPERLINK("http://www.intercariforef.org/formations/certification-101173.html","101173")</f>
        <v>101173</v>
      </c>
      <c r="F1074" s="1">
        <v>43250</v>
      </c>
      <c r="G1074" s="1">
        <v>43250</v>
      </c>
    </row>
    <row r="1075">
      <c r="A1075" t="str">
        <v>Informatique</v>
      </c>
      <c r="B1075" t="str">
        <v>Data Science : analyse et gestion de grandes masses de données</v>
      </c>
      <c r="C1075" t="str">
        <v>Télécom ParisTech</v>
      </c>
      <c r="D1075" t="str">
        <f>HYPERLINK("https://inventaire.cncp.gouv.fr/fiches/1918/","1918")</f>
        <v>1918</v>
      </c>
      <c r="E1075" t="str">
        <f>HYPERLINK("http://www.intercariforef.org/formations/certification-89163.html","89163")</f>
        <v>89163</v>
      </c>
      <c r="F1075" s="1">
        <v>42521</v>
      </c>
      <c r="G1075" s="1">
        <v>42521</v>
      </c>
    </row>
    <row r="1076" ht="26.2" customHeight="1">
      <c r="A1076" t="str">
        <v>Informatique</v>
      </c>
      <c r="B1076" t="str">
        <v>Data science : Savoir collecter, décrypter, analyser et prédire à partir de mégadonnées</v>
      </c>
      <c r="C1076" t="str">
        <v>Groupe des Écoles Nationales d'Économie et Statistique (Genes), Ensae Ensai formation continue (Cepe)</v>
      </c>
      <c r="D1076" t="str">
        <f>HYPERLINK("https://inventaire.cncp.gouv.fr/fiches/2862/","2862")</f>
        <v>2862</v>
      </c>
      <c r="E1076" t="str">
        <f>HYPERLINK("http://www.intercariforef.org/formations/certification-95591.html","95591")</f>
        <v>95591</v>
      </c>
      <c r="F1076" s="1">
        <v>42893</v>
      </c>
      <c r="G1076" s="1">
        <v>42893</v>
      </c>
    </row>
    <row r="1077">
      <c r="A1077" t="str">
        <v>Informatique</v>
      </c>
      <c r="B1077" t="str">
        <v>Décoration événementielle Organisateur d'événements</v>
      </c>
      <c r="C1077" t="str">
        <v>Open Formation</v>
      </c>
      <c r="D1077" t="str">
        <f>HYPERLINK("https://inventaire.cncp.gouv.fr/fiches/3276/","3276")</f>
        <v>3276</v>
      </c>
      <c r="E1077" t="str">
        <f>HYPERLINK("http://www.intercariforef.org/formations/certification-100707.html","100707")</f>
        <v>100707</v>
      </c>
      <c r="F1077" s="1">
        <v>43199</v>
      </c>
      <c r="G1077" s="1">
        <v>43199</v>
      </c>
    </row>
    <row r="1078">
      <c r="A1078" t="str">
        <v>Informatique</v>
      </c>
      <c r="B1078" t="str">
        <v>Des screencast avec Camtasia Windows (niveau 1)</v>
      </c>
      <c r="C1078" t="str">
        <v>OpenClassrooms</v>
      </c>
      <c r="D1078" t="str">
        <f>HYPERLINK("https://inventaire.cncp.gouv.fr/fiches/1498/","1498")</f>
        <v>1498</v>
      </c>
      <c r="E1078" t="str">
        <f>HYPERLINK("http://www.intercariforef.org/formations/certification-93979.html","93979")</f>
        <v>93979</v>
      </c>
      <c r="F1078" s="1">
        <v>42745</v>
      </c>
      <c r="G1078" s="1">
        <v>42745</v>
      </c>
    </row>
    <row r="1079">
      <c r="A1079" t="str">
        <v>Informatique</v>
      </c>
      <c r="B1079" t="str">
        <v>Développement de site web et d'application mobile</v>
      </c>
      <c r="C1079" t="str">
        <v>Le Réacteur</v>
      </c>
      <c r="D1079" t="str">
        <f>HYPERLINK("https://inventaire.cncp.gouv.fr/fiches/3729/","3729")</f>
        <v>3729</v>
      </c>
      <c r="E1079" t="str">
        <f>HYPERLINK("http://www.intercariforef.org/formations/certification-103957.html","103957")</f>
        <v>103957</v>
      </c>
      <c r="F1079" s="1">
        <v>43391</v>
      </c>
      <c r="G1079" s="1">
        <v>43391</v>
      </c>
    </row>
    <row r="1080">
      <c r="A1080" t="str">
        <v>Informatique</v>
      </c>
      <c r="B1080" t="str">
        <v>Développement Microsoft.net</v>
      </c>
      <c r="C1080" t="str">
        <v>CEGEFOS</v>
      </c>
      <c r="D1080" t="str">
        <f>HYPERLINK("https://inventaire.cncp.gouv.fr/fiches/2232/","2232")</f>
        <v>2232</v>
      </c>
      <c r="E1080" t="str">
        <f>HYPERLINK("http://www.intercariforef.org/formations/certification-94009.html","94009")</f>
        <v>94009</v>
      </c>
      <c r="F1080" s="1">
        <v>42745</v>
      </c>
      <c r="G1080" s="1">
        <v>42745</v>
      </c>
    </row>
    <row r="1081">
      <c r="A1081" t="str">
        <v>Informatique</v>
      </c>
      <c r="B1081" t="str">
        <v>Développement mobile</v>
      </c>
      <c r="C1081" t="str">
        <v>CEGEFOS</v>
      </c>
      <c r="D1081" t="str">
        <f>HYPERLINK("https://inventaire.cncp.gouv.fr/fiches/2233/","2233")</f>
        <v>2233</v>
      </c>
      <c r="E1081" t="str">
        <f>HYPERLINK("http://www.intercariforef.org/formations/certification-93877.html","93877")</f>
        <v>93877</v>
      </c>
      <c r="F1081" s="1">
        <v>42744</v>
      </c>
      <c r="G1081" s="1">
        <v>42744</v>
      </c>
    </row>
    <row r="1082">
      <c r="A1082" t="str">
        <v>Informatique</v>
      </c>
      <c r="B1082" t="str">
        <v>Développement Orienté Objet : Java-J2EE</v>
      </c>
      <c r="C1082" t="str">
        <v>CEGEFOS</v>
      </c>
      <c r="D1082" t="str">
        <f>HYPERLINK("https://inventaire.cncp.gouv.fr/fiches/2231/","2231")</f>
        <v>2231</v>
      </c>
      <c r="E1082" t="str">
        <f>HYPERLINK("http://www.intercariforef.org/formations/certification-94013.html","94013")</f>
        <v>94013</v>
      </c>
      <c r="F1082" s="1">
        <v>42745</v>
      </c>
      <c r="G1082" s="1">
        <v>42745</v>
      </c>
    </row>
    <row r="1083">
      <c r="A1083" t="str">
        <v>Informatique</v>
      </c>
      <c r="B1083" t="str">
        <v>Développement PHP</v>
      </c>
      <c r="C1083" t="str">
        <v>3W academy</v>
      </c>
      <c r="D1083" t="str">
        <f>HYPERLINK("https://inventaire.cncp.gouv.fr/fiches/2436/","2436")</f>
        <v>2436</v>
      </c>
      <c r="E1083" t="str">
        <f>HYPERLINK("http://www.intercariforef.org/formations/certification-93819.html","93819")</f>
        <v>93819</v>
      </c>
      <c r="F1083" s="1">
        <v>42740</v>
      </c>
      <c r="G1083" s="1">
        <v>42740</v>
      </c>
    </row>
    <row r="1084">
      <c r="A1084" t="str">
        <v>Informatique</v>
      </c>
      <c r="B1084" t="str">
        <v>Développement Web : PHP, Symfony, AngularJS, Node.JS</v>
      </c>
      <c r="C1084" t="str">
        <v>CEGEFOS</v>
      </c>
      <c r="D1084" t="str">
        <f>HYPERLINK("https://inventaire.cncp.gouv.fr/fiches/2226/","2226")</f>
        <v>2226</v>
      </c>
      <c r="E1084" t="str">
        <f>HYPERLINK("http://www.intercariforef.org/formations/certification-93841.html","93841")</f>
        <v>93841</v>
      </c>
      <c r="F1084" s="1">
        <v>42744</v>
      </c>
      <c r="G1084" s="1">
        <v>42744</v>
      </c>
    </row>
    <row r="1085">
      <c r="A1085" t="str">
        <v>Informatique</v>
      </c>
      <c r="B1085" t="str">
        <v>Développer des applications PHP</v>
      </c>
      <c r="C1085" t="str">
        <v>AgoraTIC</v>
      </c>
      <c r="D1085" t="str">
        <f>HYPERLINK("https://inventaire.cncp.gouv.fr/fiches/2919/","2919")</f>
        <v>2919</v>
      </c>
      <c r="E1085" t="str">
        <f>HYPERLINK("http://www.intercariforef.org/formations/certification-96543.html","96543")</f>
        <v>96543</v>
      </c>
      <c r="F1085" s="1">
        <v>42928</v>
      </c>
      <c r="G1085" s="1">
        <v>42928</v>
      </c>
    </row>
    <row r="1086">
      <c r="A1086" t="str">
        <v>Informatique</v>
      </c>
      <c r="B1086" t="str">
        <v>Développer des applications PHP avancées</v>
      </c>
      <c r="C1086" t="str">
        <v>AgoraTIC</v>
      </c>
      <c r="D1086" t="str">
        <f>HYPERLINK("https://inventaire.cncp.gouv.fr/fiches/2543/","2543")</f>
        <v>2543</v>
      </c>
      <c r="E1086" t="str">
        <f>HYPERLINK("http://www.intercariforef.org/formations/certification-95663.html","95663")</f>
        <v>95663</v>
      </c>
      <c r="F1086" s="1">
        <v>42894</v>
      </c>
      <c r="G1086" s="1">
        <v>42894</v>
      </c>
    </row>
    <row r="1087">
      <c r="A1087" t="str">
        <v>Informatique</v>
      </c>
      <c r="B1087" t="str">
        <v>Développer en mode agile</v>
      </c>
      <c r="C1087" t="str">
        <v>Ecole polytechnique</v>
      </c>
      <c r="D1087" t="str">
        <f>HYPERLINK("https://inventaire.cncp.gouv.fr/fiches/2343/","2343")</f>
        <v>2343</v>
      </c>
      <c r="E1087" t="str">
        <f>HYPERLINK("http://www.intercariforef.org/formations/certification-93885.html","93885")</f>
        <v>93885</v>
      </c>
      <c r="F1087" s="1">
        <v>42744</v>
      </c>
      <c r="G1087" s="1">
        <v>42979</v>
      </c>
    </row>
    <row r="1088">
      <c r="A1088" t="str">
        <v>Informatique</v>
      </c>
      <c r="B1088" t="str">
        <v>Développer son activité avec le Webmarketing</v>
      </c>
      <c r="C1088" t="str">
        <v>Webmarketing &amp; co'm</v>
      </c>
      <c r="D1088" t="str">
        <f>HYPERLINK("https://inventaire.cncp.gouv.fr/fiches/4119/","4119")</f>
        <v>4119</v>
      </c>
      <c r="E1088" t="str">
        <f>HYPERLINK("http://www.intercariforef.org/formations/certification-104083.html","104083")</f>
        <v>104083</v>
      </c>
      <c r="F1088" s="1">
        <v>43397</v>
      </c>
      <c r="G1088" s="1">
        <v>43397</v>
      </c>
    </row>
    <row r="1089">
      <c r="A1089" t="str">
        <v>Informatique</v>
      </c>
      <c r="B1089" t="str">
        <v>Doigts-d-or : technique de dactylographie sur ordinateur</v>
      </c>
      <c r="C1089" t="str">
        <v>JVT Consulting</v>
      </c>
      <c r="D1089" t="str">
        <f>HYPERLINK("https://inventaire.cncp.gouv.fr/fiches/3096/","3096")</f>
        <v>3096</v>
      </c>
      <c r="E1089" t="str">
        <f>HYPERLINK("http://www.intercariforef.org/formations/certification-98397.html","98397")</f>
        <v>98397</v>
      </c>
      <c r="F1089" s="1">
        <v>43027</v>
      </c>
      <c r="G1089" s="1">
        <v>43027</v>
      </c>
    </row>
    <row r="1090" ht="26.2" customHeight="1">
      <c r="A1090" t="str">
        <v>Informatique</v>
      </c>
      <c r="B1090" t="str">
        <v>Drupal 7 Développeur : développement de modules (fonctionnalités) customs en utilisant les APIs de la version 7 du CMS Drupal</v>
      </c>
      <c r="C1090" t="str">
        <v>Trained People</v>
      </c>
      <c r="D1090" t="str">
        <f>HYPERLINK("https://inventaire.cncp.gouv.fr/fiches/557/","557")</f>
        <v>557</v>
      </c>
      <c r="E1090" t="str">
        <f>HYPERLINK("http://www.intercariforef.org/formations/certification-85164.html","85164")</f>
        <v>85164</v>
      </c>
      <c r="F1090" s="1">
        <v>42201</v>
      </c>
      <c r="G1090" s="1">
        <v>42718</v>
      </c>
    </row>
    <row r="1091" ht="26.2" customHeight="1">
      <c r="A1091" t="str">
        <v>Informatique</v>
      </c>
      <c r="B1091" t="str">
        <v>Drupal 7 Expert : gestion de la performance, sécurité, déploiement avec la version 7 du CMS Drupal</v>
      </c>
      <c r="C1091" t="str">
        <v>Trained People</v>
      </c>
      <c r="D1091" t="str">
        <f>HYPERLINK("https://inventaire.cncp.gouv.fr/fiches/559/","559")</f>
        <v>559</v>
      </c>
      <c r="E1091" t="str">
        <f>HYPERLINK("http://www.intercariforef.org/formations/certification-85165.html","85165")</f>
        <v>85165</v>
      </c>
      <c r="F1091" s="1">
        <v>42201</v>
      </c>
      <c r="G1091" s="1">
        <v>42718</v>
      </c>
    </row>
    <row r="1092" ht="26.2" customHeight="1">
      <c r="A1092" t="str">
        <v>Informatique</v>
      </c>
      <c r="B1092" t="str">
        <v>Drupal 7 Themer/Intégrateur : intégration de chartes graphiques sous forme de thème avec la version 7 du CMS Drupal</v>
      </c>
      <c r="C1092" t="str">
        <v>Trained People</v>
      </c>
      <c r="D1092" t="str">
        <f>HYPERLINK("https://inventaire.cncp.gouv.fr/fiches/556/","556")</f>
        <v>556</v>
      </c>
      <c r="E1092" t="str">
        <f>HYPERLINK("http://www.intercariforef.org/formations/certification-85166.html","85166")</f>
        <v>85166</v>
      </c>
      <c r="F1092" s="1">
        <v>42201</v>
      </c>
      <c r="G1092" s="1">
        <v>42718</v>
      </c>
    </row>
    <row r="1093">
      <c r="A1093" t="str">
        <v>Informatique</v>
      </c>
      <c r="B1093" t="str">
        <v>Drupal 7 Webmaster : construction de site web avec la version 7 du CMS Drupal</v>
      </c>
      <c r="C1093" t="str">
        <v>Trained People</v>
      </c>
      <c r="D1093" t="str">
        <f>HYPERLINK("https://inventaire.cncp.gouv.fr/fiches/554/","554")</f>
        <v>554</v>
      </c>
      <c r="E1093" t="str">
        <f>HYPERLINK("http://www.intercariforef.org/formations/certification-85167.html","85167")</f>
        <v>85167</v>
      </c>
      <c r="F1093" s="1">
        <v>42201</v>
      </c>
      <c r="G1093" s="1">
        <v>42718</v>
      </c>
    </row>
    <row r="1094" ht="26.2" customHeight="1">
      <c r="A1094" t="str">
        <v>Informatique</v>
      </c>
      <c r="B1094" t="str">
        <v>Drupal 8 Développeur : développement de modules (fonctionnalités) customs en utilisant les APIs de la version 8 du CMS Drupal</v>
      </c>
      <c r="C1094" t="str">
        <v>Trained People</v>
      </c>
      <c r="D1094" t="str">
        <f>HYPERLINK("https://inventaire.cncp.gouv.fr/fiches/570/","570")</f>
        <v>570</v>
      </c>
      <c r="E1094" t="str">
        <f>HYPERLINK("http://www.intercariforef.org/formations/certification-85168.html","85168")</f>
        <v>85168</v>
      </c>
      <c r="F1094" s="1">
        <v>42201</v>
      </c>
      <c r="G1094" s="1">
        <v>42718</v>
      </c>
    </row>
    <row r="1095" ht="26.2" customHeight="1">
      <c r="A1095" t="str">
        <v>Informatique</v>
      </c>
      <c r="B1095" t="str">
        <v>Drupal 8 Expert : gestion de la performance, sécurité, déploiement avec la version 8 du CMS Drupal</v>
      </c>
      <c r="C1095" t="str">
        <v>Trained People</v>
      </c>
      <c r="D1095" t="str">
        <f>HYPERLINK("https://inventaire.cncp.gouv.fr/fiches/573/","573")</f>
        <v>573</v>
      </c>
      <c r="E1095" t="str">
        <f>HYPERLINK("http://www.intercariforef.org/formations/certification-85169.html","85169")</f>
        <v>85169</v>
      </c>
      <c r="F1095" s="1">
        <v>42201</v>
      </c>
      <c r="G1095" s="1">
        <v>42718</v>
      </c>
    </row>
    <row r="1096" ht="26.2" customHeight="1">
      <c r="A1096" t="str">
        <v>Informatique</v>
      </c>
      <c r="B1096" t="str">
        <v>Drupal 8 Intégrateur : intégration de chartes graphiques sous forme de thème avec la version 8 du CMS Drupal</v>
      </c>
      <c r="C1096" t="str">
        <v>Trained People</v>
      </c>
      <c r="D1096" t="str">
        <f>HYPERLINK("https://inventaire.cncp.gouv.fr/fiches/561/","561")</f>
        <v>561</v>
      </c>
      <c r="E1096" t="str">
        <f>HYPERLINK("http://www.intercariforef.org/formations/certification-85170.html","85170")</f>
        <v>85170</v>
      </c>
      <c r="F1096" s="1">
        <v>42201</v>
      </c>
      <c r="G1096" s="1">
        <v>42718</v>
      </c>
    </row>
    <row r="1097">
      <c r="A1097" t="str">
        <v>Informatique</v>
      </c>
      <c r="B1097" t="str">
        <v>Drupal 8 Webmaster : construction de site web avec la version 8 du CMS Drupal</v>
      </c>
      <c r="C1097" t="str">
        <v>Trained People</v>
      </c>
      <c r="D1097" t="str">
        <f>HYPERLINK("https://inventaire.cncp.gouv.fr/fiches/560/","560")</f>
        <v>560</v>
      </c>
      <c r="E1097" t="str">
        <f>HYPERLINK("http://www.intercariforef.org/formations/certification-85171.html","85171")</f>
        <v>85171</v>
      </c>
      <c r="F1097" s="1">
        <v>42201</v>
      </c>
      <c r="G1097" s="1">
        <v>42718</v>
      </c>
    </row>
    <row r="1098">
      <c r="A1098" t="str">
        <v>Informatique</v>
      </c>
      <c r="B1098" t="str">
        <v>DU délégué à la protection des données (DPO)</v>
      </c>
      <c r="C1098" t="str">
        <v>Université de technologie de Troyes (UTT)</v>
      </c>
      <c r="D1098" t="str">
        <f>HYPERLINK("https://inventaire.cncp.gouv.fr/fiches/3105/","3105")</f>
        <v>3105</v>
      </c>
      <c r="E1098" t="str">
        <f>HYPERLINK("http://www.intercariforef.org/formations/certification-98521.html","98521")</f>
        <v>98521</v>
      </c>
      <c r="F1098" s="1">
        <v>43033</v>
      </c>
      <c r="G1098" s="1">
        <v>43046</v>
      </c>
    </row>
    <row r="1099">
      <c r="A1099" t="str">
        <v>Informatique</v>
      </c>
      <c r="B1099" t="str">
        <v>E_BW4HANA - SAP Certified Application Specialist - SAP BW/4HANA</v>
      </c>
      <c r="C1099" t="str">
        <v>SAP France</v>
      </c>
      <c r="D1099" t="str">
        <f>HYPERLINK("https://inventaire.cncp.gouv.fr/fiches/3303/","3303")</f>
        <v>3303</v>
      </c>
      <c r="E1099" t="str">
        <f>HYPERLINK("http://www.intercariforef.org/formations/certification-100671.html","100671")</f>
        <v>100671</v>
      </c>
      <c r="F1099" s="1">
        <v>43194</v>
      </c>
      <c r="G1099" s="1">
        <v>43194</v>
      </c>
    </row>
    <row r="1100">
      <c r="A1100" t="str">
        <v>Informatique</v>
      </c>
      <c r="B1100" t="str">
        <v>E_HANAAW - SAP Certified Development Specialist - ABAP for SAP HANA</v>
      </c>
      <c r="C1100" t="str">
        <v>SAP France</v>
      </c>
      <c r="D1100" t="str">
        <f>HYPERLINK("https://inventaire.cncp.gouv.fr/fiches/296/","296")</f>
        <v>296</v>
      </c>
      <c r="E1100" t="str">
        <f>HYPERLINK("http://www.intercariforef.org/formations/certification-84553.html","84553")</f>
        <v>84553</v>
      </c>
      <c r="F1100" s="1">
        <v>42114</v>
      </c>
      <c r="G1100" s="1">
        <v>42718</v>
      </c>
    </row>
    <row r="1101">
      <c r="A1101" t="str">
        <v>Informatique</v>
      </c>
      <c r="B1101" t="str">
        <v>E_HANABW - SAP Certified Application Associate - SAP BW on SAP HANA</v>
      </c>
      <c r="C1101" t="str">
        <v>SAP France</v>
      </c>
      <c r="D1101" t="str">
        <f>HYPERLINK("https://inventaire.cncp.gouv.fr/fiches/298/","298")</f>
        <v>298</v>
      </c>
      <c r="E1101" t="str">
        <f>HYPERLINK("http://www.intercariforef.org/formations/certification-85785.html","85785")</f>
        <v>85785</v>
      </c>
      <c r="F1101" s="1">
        <v>42279</v>
      </c>
      <c r="G1101" s="1">
        <v>42718</v>
      </c>
    </row>
    <row r="1102">
      <c r="A1102" t="str">
        <v>Informatique</v>
      </c>
      <c r="B1102" t="str">
        <v>EBIOS risk manager</v>
      </c>
      <c r="C1102" t="str">
        <v>HSC, ORSYS</v>
      </c>
      <c r="D1102" t="str">
        <f>HYPERLINK("https://inventaire.cncp.gouv.fr/fiches/1863/","1863")</f>
        <v>1863</v>
      </c>
      <c r="E1102" t="str">
        <f>HYPERLINK("http://www.intercariforef.org/formations/certification-92085.html","92085")</f>
        <v>92085</v>
      </c>
      <c r="F1102" s="1">
        <v>42667</v>
      </c>
      <c r="G1102" s="1">
        <v>42667</v>
      </c>
    </row>
    <row r="1103">
      <c r="A1103" t="str">
        <v>Informatique</v>
      </c>
      <c r="B1103" t="str">
        <v>Edgecam : CFAO 2 à 5 AXES</v>
      </c>
      <c r="C1103" t="str">
        <v>VERO FRANCE (Groupe VERO Software)</v>
      </c>
      <c r="D1103" t="str">
        <f>HYPERLINK("https://inventaire.cncp.gouv.fr/fiches/2204/","2204")</f>
        <v>2204</v>
      </c>
      <c r="E1103" t="str">
        <f>HYPERLINK("http://www.intercariforef.org/formations/certification-90011.html","90011")</f>
        <v>90011</v>
      </c>
      <c r="F1103" s="1">
        <v>42557</v>
      </c>
      <c r="G1103" s="1">
        <v>42718</v>
      </c>
    </row>
    <row r="1104">
      <c r="A1104" t="str">
        <v>Informatique</v>
      </c>
      <c r="B1104" t="str">
        <v>Ergonomie des interfaces, UX/UI Design</v>
      </c>
      <c r="C1104" t="str">
        <v>USABILIS</v>
      </c>
      <c r="D1104" t="str">
        <f>HYPERLINK("https://inventaire.cncp.gouv.fr/fiches/1709/","1709")</f>
        <v>1709</v>
      </c>
      <c r="E1104" t="str">
        <f>HYPERLINK("http://www.intercariforef.org/formations/certification-88407.html","88407")</f>
        <v>88407</v>
      </c>
      <c r="F1104" s="1">
        <v>42461</v>
      </c>
      <c r="G1104" s="1">
        <v>42718</v>
      </c>
    </row>
    <row r="1105">
      <c r="A1105" t="str">
        <v>Informatique</v>
      </c>
      <c r="B1105" t="str">
        <v>ERP Divalto izy-infinity : Domaine fonctionnel "Atelier de Génie Logiciel"</v>
      </c>
      <c r="C1105" t="str">
        <v>Divalto</v>
      </c>
      <c r="D1105" t="str">
        <f>HYPERLINK("https://inventaire.cncp.gouv.fr/fiches/1781/","1781")</f>
        <v>1781</v>
      </c>
      <c r="E1105" t="str">
        <f>HYPERLINK("http://www.intercariforef.org/formations/certification-92127.html","92127")</f>
        <v>92127</v>
      </c>
      <c r="F1105" s="1">
        <v>42667</v>
      </c>
      <c r="G1105" s="1">
        <v>42667</v>
      </c>
    </row>
    <row r="1106">
      <c r="A1106" t="str">
        <v>Informatique</v>
      </c>
      <c r="B1106" t="str">
        <v>ERP Divalto izy-infinity : Domaine fonctionnel "CRM" (relation tiers)</v>
      </c>
      <c r="C1106" t="str">
        <v>Divalto</v>
      </c>
      <c r="D1106" t="str">
        <f>HYPERLINK("https://inventaire.cncp.gouv.fr/fiches/1762/","1762")</f>
        <v>1762</v>
      </c>
      <c r="E1106" t="str">
        <f>HYPERLINK("http://www.intercariforef.org/formations/certification-93997.html","93997")</f>
        <v>93997</v>
      </c>
      <c r="F1106" s="1">
        <v>42745</v>
      </c>
      <c r="G1106" s="1">
        <v>42745</v>
      </c>
    </row>
    <row r="1107">
      <c r="A1107" t="str">
        <v>Informatique</v>
      </c>
      <c r="B1107" t="str">
        <v>ERP Divalto izy-infinity : Domaine fonctionnel "Finances"</v>
      </c>
      <c r="C1107" t="str">
        <v>Divalto</v>
      </c>
      <c r="D1107" t="str">
        <f>HYPERLINK("https://inventaire.cncp.gouv.fr/fiches/1752/","1752")</f>
        <v>1752</v>
      </c>
      <c r="E1107" t="str">
        <f>HYPERLINK("http://www.intercariforef.org/formations/certification-94001.html","94001")</f>
        <v>94001</v>
      </c>
      <c r="F1107" s="1">
        <v>42745</v>
      </c>
      <c r="G1107" s="1">
        <v>42745</v>
      </c>
    </row>
    <row r="1108">
      <c r="A1108" t="str">
        <v>Informatique</v>
      </c>
      <c r="B1108" t="str">
        <v>ERP Divalto izy-infinity : Domaine fonctionnel "Gestion commerciale et logistique"</v>
      </c>
      <c r="C1108" t="str">
        <v>Divalto</v>
      </c>
      <c r="D1108" t="str">
        <f>HYPERLINK("https://inventaire.cncp.gouv.fr/fiches/1649/","1649")</f>
        <v>1649</v>
      </c>
      <c r="E1108" t="str">
        <f>HYPERLINK("http://www.intercariforef.org/formations/certification-93993.html","93993")</f>
        <v>93993</v>
      </c>
      <c r="F1108" s="1">
        <v>42745</v>
      </c>
      <c r="G1108" s="1">
        <v>42745</v>
      </c>
    </row>
    <row r="1109">
      <c r="A1109" t="str">
        <v>Informatique</v>
      </c>
      <c r="B1109" t="str">
        <v>ERP Divalto izy-infinity : Domaine fonctionnel "Paie"</v>
      </c>
      <c r="C1109" t="str">
        <v>Divalto</v>
      </c>
      <c r="D1109" t="str">
        <f>HYPERLINK("https://inventaire.cncp.gouv.fr/fiches/1763/","1763")</f>
        <v>1763</v>
      </c>
      <c r="E1109" t="str">
        <f>HYPERLINK("http://www.intercariforef.org/formations/certification-93995.html","93995")</f>
        <v>93995</v>
      </c>
      <c r="F1109" s="1">
        <v>42745</v>
      </c>
      <c r="G1109" s="1">
        <v>42745</v>
      </c>
    </row>
    <row r="1110">
      <c r="A1110" t="str">
        <v>Informatique</v>
      </c>
      <c r="B1110" t="str">
        <v>ERP Divalto izy-infinity : Domaine fonctionnel "Production"</v>
      </c>
      <c r="C1110" t="str">
        <v>Divalto</v>
      </c>
      <c r="D1110" t="str">
        <f>HYPERLINK("https://inventaire.cncp.gouv.fr/fiches/1758/","1758")</f>
        <v>1758</v>
      </c>
      <c r="E1110" t="str">
        <f>HYPERLINK("http://www.intercariforef.org/formations/certification-93999.html","93999")</f>
        <v>93999</v>
      </c>
      <c r="F1110" s="1">
        <v>42745</v>
      </c>
      <c r="G1110" s="1">
        <v>42745</v>
      </c>
    </row>
    <row r="1111">
      <c r="A1111" t="str">
        <v>Informatique</v>
      </c>
      <c r="B1111" t="str">
        <v>ERP Divalto izy-infinity : Gestion du cycle de vie et des évolutions</v>
      </c>
      <c r="C1111" t="str">
        <v>Divalto</v>
      </c>
      <c r="D1111" t="str">
        <f>HYPERLINK("https://inventaire.cncp.gouv.fr/fiches/2333/","2333")</f>
        <v>2333</v>
      </c>
      <c r="E1111" t="str">
        <f>HYPERLINK("http://www.intercariforef.org/formations/certification-93937.html","93937")</f>
        <v>93937</v>
      </c>
      <c r="F1111" s="1">
        <v>42744</v>
      </c>
      <c r="G1111" s="1">
        <v>42744</v>
      </c>
    </row>
    <row r="1112">
      <c r="A1112" t="str">
        <v>Informatique</v>
      </c>
      <c r="B1112" t="str">
        <v>Expertise Blockchain</v>
      </c>
      <c r="C1112" t="str">
        <v>M2I Formation</v>
      </c>
      <c r="D1112" t="str">
        <f>HYPERLINK("https://inventaire.cncp.gouv.fr/fiches/3594/","3594")</f>
        <v>3594</v>
      </c>
      <c r="E1112" t="str">
        <f>HYPERLINK("http://www.intercariforef.org/formations/certification-103981.html","103981")</f>
        <v>103981</v>
      </c>
      <c r="F1112" s="1">
        <v>43391</v>
      </c>
      <c r="G1112" s="1">
        <v>43391</v>
      </c>
    </row>
    <row r="1113">
      <c r="A1113" t="str">
        <v>Informatique</v>
      </c>
      <c r="B1113" t="str">
        <v>Expertises Big Data</v>
      </c>
      <c r="C1113" t="str">
        <v>M2I Formation</v>
      </c>
      <c r="D1113" t="str">
        <f>HYPERLINK("https://inventaire.cncp.gouv.fr/fiches/3299/","3299")</f>
        <v>3299</v>
      </c>
      <c r="E1113" t="str">
        <f>HYPERLINK("http://www.intercariforef.org/formations/certification-100085.html","100085")</f>
        <v>100085</v>
      </c>
      <c r="F1113" s="1">
        <v>43152</v>
      </c>
      <c r="G1113" s="1">
        <v>43152</v>
      </c>
    </row>
    <row r="1114">
      <c r="A1114" t="str">
        <v>Informatique</v>
      </c>
      <c r="B1114" t="str">
        <v>Exploitant en mode agile (Dev Ops)</v>
      </c>
      <c r="C1114" t="str">
        <v>Ecole polytechnique</v>
      </c>
      <c r="D1114" t="str">
        <f>HYPERLINK("https://inventaire.cncp.gouv.fr/fiches/2342/","2342")</f>
        <v>2342</v>
      </c>
      <c r="E1114" t="str">
        <f>HYPERLINK("http://www.intercariforef.org/formations/certification-93935.html","93935")</f>
        <v>93935</v>
      </c>
      <c r="F1114" s="1">
        <v>42744</v>
      </c>
      <c r="G1114" s="1">
        <v>42979</v>
      </c>
    </row>
    <row r="1115">
      <c r="A1115" t="str">
        <v>Informatique</v>
      </c>
      <c r="B1115" t="str">
        <v>Exploiter des infrastructures IT audiovisuelles</v>
      </c>
      <c r="C1115" t="str">
        <v>IIFA</v>
      </c>
      <c r="D1115" t="str">
        <f>HYPERLINK("https://inventaire.cncp.gouv.fr/fiches/1745/","1745")</f>
        <v>1745</v>
      </c>
      <c r="E1115" t="str">
        <f>HYPERLINK("http://www.intercariforef.org/formations/certification-93909.html","93909")</f>
        <v>93909</v>
      </c>
      <c r="F1115" s="1">
        <v>42744</v>
      </c>
      <c r="G1115" s="1">
        <v>42744</v>
      </c>
    </row>
    <row r="1116">
      <c r="A1116" t="str">
        <v>Informatique</v>
      </c>
      <c r="B1116" t="str">
        <v>Exploiter et superviser des réseaux IT/Broadcast</v>
      </c>
      <c r="C1116" t="str">
        <v>IIFA</v>
      </c>
      <c r="D1116" t="str">
        <f>HYPERLINK("https://inventaire.cncp.gouv.fr/fiches/1658/","1658")</f>
        <v>1658</v>
      </c>
      <c r="E1116" t="str">
        <f>HYPERLINK("http://www.intercariforef.org/formations/certification-93871.html","93871")</f>
        <v>93871</v>
      </c>
      <c r="F1116" s="1">
        <v>42744</v>
      </c>
      <c r="G1116" s="1">
        <v>42744</v>
      </c>
    </row>
    <row r="1117">
      <c r="A1117" t="str">
        <v>Informatique</v>
      </c>
      <c r="B1117" t="str">
        <v>Exploration des données</v>
      </c>
      <c r="C1117" t="str">
        <v>École supérieure d'assurances</v>
      </c>
      <c r="D1117" t="str">
        <f>HYPERLINK("https://inventaire.cncp.gouv.fr/fiches/2964/","2964")</f>
        <v>2964</v>
      </c>
      <c r="E1117" t="str">
        <f>HYPERLINK("http://www.intercariforef.org/formations/certification-97139.html","97139")</f>
        <v>97139</v>
      </c>
      <c r="F1117" s="1">
        <v>42983</v>
      </c>
      <c r="G1117" s="1">
        <v>42983</v>
      </c>
    </row>
    <row r="1118">
      <c r="A1118" t="str">
        <v>Informatique</v>
      </c>
      <c r="B1118" t="str">
        <v>Final Cut Pro Certificat officiel Apple</v>
      </c>
      <c r="C1118" t="str">
        <v>CPNE de l'audiovisuel</v>
      </c>
      <c r="D1118" t="str">
        <f>HYPERLINK("https://inventaire.cncp.gouv.fr/fiches/2037/","2037")</f>
        <v>2037</v>
      </c>
      <c r="E1118" t="str">
        <f>HYPERLINK("http://www.intercariforef.org/formations/certification-92087.html","92087")</f>
        <v>92087</v>
      </c>
      <c r="F1118" s="1">
        <v>42667</v>
      </c>
      <c r="G1118" s="1">
        <v>43111</v>
      </c>
    </row>
    <row r="1119">
      <c r="A1119" t="str">
        <v>Informatique</v>
      </c>
      <c r="B1119" t="str">
        <v>Fondamentaux de la cyber sécurité</v>
      </c>
      <c r="C1119" t="str">
        <v>Unow</v>
      </c>
      <c r="D1119" t="str">
        <f>HYPERLINK("https://inventaire.cncp.gouv.fr/fiches/3628/","3628")</f>
        <v>3628</v>
      </c>
      <c r="E1119" t="str">
        <f>HYPERLINK("http://www.intercariforef.org/formations/certification-101345.html","101345")</f>
        <v>101345</v>
      </c>
      <c r="F1119" s="1">
        <v>43256</v>
      </c>
      <c r="G1119" s="1">
        <v>43279</v>
      </c>
    </row>
    <row r="1120">
      <c r="A1120" t="str">
        <v>Informatique</v>
      </c>
      <c r="B1120" t="str">
        <v>Fondamentaux de la Programmation</v>
      </c>
      <c r="C1120" t="str">
        <v>M2I Formation</v>
      </c>
      <c r="D1120" t="str">
        <f>HYPERLINK("https://inventaire.cncp.gouv.fr/fiches/2676/","2676")</f>
        <v>2676</v>
      </c>
      <c r="E1120" t="str">
        <f>HYPERLINK("http://www.intercariforef.org/formations/certification-95453.html","95453")</f>
        <v>95453</v>
      </c>
      <c r="F1120" s="1">
        <v>42884</v>
      </c>
      <c r="G1120" s="1">
        <v>42884</v>
      </c>
    </row>
    <row r="1121" ht="26.2" customHeight="1">
      <c r="A1121" t="str">
        <v>Informatique</v>
      </c>
      <c r="B1121" t="str">
        <v>Formation continue à la gestion technique et administrative d'un établissement chargé d'organiser les stages de sensibilisation à la sécurité routière</v>
      </c>
      <c r="C1121" t="str">
        <v>Institut National de Sécurité Routière et de Recherches</v>
      </c>
      <c r="D1121" t="str">
        <f>HYPERLINK("https://inventaire.cncp.gouv.fr/fiches/2953/","2953")</f>
        <v>2953</v>
      </c>
      <c r="E1121" t="str">
        <f>HYPERLINK("http://www.intercariforef.org/formations/certification-97083.html","97083")</f>
        <v>97083</v>
      </c>
      <c r="F1121" s="1">
        <v>42978</v>
      </c>
      <c r="G1121" s="1">
        <v>42978</v>
      </c>
    </row>
    <row r="1122" ht="26.2" customHeight="1">
      <c r="A1122" t="str">
        <v>Informatique</v>
      </c>
      <c r="B1122" t="str">
        <v>Formation initiale à la gestion technique et administrative d'un établissement chargé d'organiser les stages de sensibilisation à la sécurité routière</v>
      </c>
      <c r="C1122" t="str">
        <v>Institut National de Sécurité Routière et de Recherches</v>
      </c>
      <c r="D1122" t="str">
        <f>HYPERLINK("https://inventaire.cncp.gouv.fr/fiches/2949/","2949")</f>
        <v>2949</v>
      </c>
      <c r="E1122" t="str">
        <f>HYPERLINK("http://www.intercariforef.org/formations/certification-97089.html","97089")</f>
        <v>97089</v>
      </c>
      <c r="F1122" s="1">
        <v>42978</v>
      </c>
      <c r="G1122" s="1">
        <v>42978</v>
      </c>
    </row>
    <row r="1123">
      <c r="A1123" t="str">
        <v>Informatique</v>
      </c>
      <c r="B1123" t="str">
        <v>Gérer et archiver des fichiers audiovisuels en postproduction</v>
      </c>
      <c r="C1123" t="str">
        <v>IIFA</v>
      </c>
      <c r="D1123" t="str">
        <f>HYPERLINK("https://inventaire.cncp.gouv.fr/fiches/1774/","1774")</f>
        <v>1774</v>
      </c>
      <c r="E1123" t="str">
        <f>HYPERLINK("http://www.intercariforef.org/formations/certification-88485.html","88485")</f>
        <v>88485</v>
      </c>
      <c r="F1123" s="1">
        <v>42465</v>
      </c>
      <c r="G1123" s="1">
        <v>42465</v>
      </c>
    </row>
    <row r="1124">
      <c r="A1124" t="str">
        <v>Informatique</v>
      </c>
      <c r="B1124" t="str">
        <v>Gérer la mise en conformité de la protection des données à caractère personnel</v>
      </c>
      <c r="C1124" t="str">
        <v>École supérieure d'assurances</v>
      </c>
      <c r="D1124" t="str">
        <f>HYPERLINK("https://inventaire.cncp.gouv.fr/fiches/3880/","3880")</f>
        <v>3880</v>
      </c>
      <c r="E1124" t="str">
        <f>HYPERLINK("http://www.intercariforef.org/formations/certification-103939.html","103939")</f>
        <v>103939</v>
      </c>
      <c r="F1124" s="1">
        <v>43390</v>
      </c>
      <c r="G1124" s="1">
        <v>43390</v>
      </c>
    </row>
    <row r="1125">
      <c r="A1125" t="str">
        <v>Informatique</v>
      </c>
      <c r="B1125" t="str">
        <v>Gestion de projet</v>
      </c>
      <c r="C1125" t="str">
        <v>AJC Formation</v>
      </c>
      <c r="D1125" t="str">
        <f>HYPERLINK("https://inventaire.cncp.gouv.fr/fiches/1975/","1975")</f>
        <v>1975</v>
      </c>
      <c r="E1125" t="str">
        <f>HYPERLINK("http://www.intercariforef.org/formations/certification-90155.html","90155")</f>
        <v>90155</v>
      </c>
      <c r="F1125" s="1">
        <v>42562</v>
      </c>
      <c r="G1125" s="1">
        <v>42562</v>
      </c>
    </row>
    <row r="1126">
      <c r="A1126" t="str">
        <v>Informatique</v>
      </c>
      <c r="B1126" t="str">
        <v>Gestion de projet et Méthodologie de travail</v>
      </c>
      <c r="C1126" t="str">
        <v>CEGEFOS</v>
      </c>
      <c r="D1126" t="str">
        <f>HYPERLINK("https://inventaire.cncp.gouv.fr/fiches/2221/","2221")</f>
        <v>2221</v>
      </c>
      <c r="E1126" t="str">
        <f>HYPERLINK("http://www.intercariforef.org/formations/certification-92153.html","92153")</f>
        <v>92153</v>
      </c>
      <c r="F1126" s="1">
        <v>42667</v>
      </c>
      <c r="G1126" s="1">
        <v>42718</v>
      </c>
    </row>
    <row r="1127">
      <c r="A1127" t="str">
        <v>Informatique</v>
      </c>
      <c r="B1127" t="str">
        <v>Gestion des données de référence</v>
      </c>
      <c r="C1127" t="str">
        <v>École supérieure d'assurances</v>
      </c>
      <c r="D1127" t="str">
        <f>HYPERLINK("https://inventaire.cncp.gouv.fr/fiches/2960/","2960")</f>
        <v>2960</v>
      </c>
      <c r="E1127" t="str">
        <f>HYPERLINK("http://www.intercariforef.org/formations/certification-96519.html","96519")</f>
        <v>96519</v>
      </c>
      <c r="F1127" s="1">
        <v>42928</v>
      </c>
      <c r="G1127" s="1">
        <v>42928</v>
      </c>
    </row>
    <row r="1128">
      <c r="A1128" t="str">
        <v>Informatique</v>
      </c>
      <c r="B1128" t="str">
        <v>GIAC certified Penetration Tester (GPEN) - Certification aux tests d'intrusion</v>
      </c>
      <c r="C1128" t="str">
        <v>GIAC (Global Information Assurance Certification)</v>
      </c>
      <c r="D1128" t="str">
        <f>HYPERLINK("https://inventaire.cncp.gouv.fr/fiches/1611/","1611")</f>
        <v>1611</v>
      </c>
      <c r="E1128" t="str">
        <f>HYPERLINK("http://www.intercariforef.org/formations/certification-90065.html","90065")</f>
        <v>90065</v>
      </c>
      <c r="F1128" s="1">
        <v>42559</v>
      </c>
      <c r="G1128" s="1">
        <v>43006</v>
      </c>
    </row>
    <row r="1129">
      <c r="A1129" t="str">
        <v>Informatique</v>
      </c>
      <c r="B1129" t="str">
        <v>Gouvernance, protection et exploitation des données de santé (DU)</v>
      </c>
      <c r="C1129" t="str">
        <v>Université de technologie de Troyes (UTT)</v>
      </c>
      <c r="D1129" t="str">
        <f>HYPERLINK("https://inventaire.cncp.gouv.fr/fiches/3853/","3853")</f>
        <v>3853</v>
      </c>
      <c r="E1129" t="str">
        <f>HYPERLINK("http://www.intercariforef.org/formations/certification-104139.html","104139")</f>
        <v>104139</v>
      </c>
      <c r="F1129" s="1">
        <v>43398</v>
      </c>
      <c r="G1129" s="1">
        <v>43398</v>
      </c>
    </row>
    <row r="1130">
      <c r="A1130" t="str">
        <v>Informatique</v>
      </c>
      <c r="B1130" t="str">
        <v>Graphisme multimédia - Fondamentaux et bases techniques (CP FFP)</v>
      </c>
      <c r="C1130" t="str">
        <v>Créa image communication</v>
      </c>
      <c r="D1130" t="str">
        <f>HYPERLINK("https://inventaire.cncp.gouv.fr/fiches/3727/","3727")</f>
        <v>3727</v>
      </c>
      <c r="E1130" t="str">
        <f>HYPERLINK("http://www.intercariforef.org/formations/certification-104155.html","104155")</f>
        <v>104155</v>
      </c>
      <c r="F1130" s="1">
        <v>43398</v>
      </c>
      <c r="G1130" s="1">
        <v>43398</v>
      </c>
    </row>
    <row r="1131" ht="26.2" customHeight="1">
      <c r="A1131" t="str">
        <v>Informatique</v>
      </c>
      <c r="B1131" t="str">
        <v>Habilitation IBM Certified Support Associate - Cloud &amp; Smarter Infrastructure Support Provider Tools and Processes</v>
      </c>
      <c r="C1131" t="str">
        <v>IBM</v>
      </c>
      <c r="D1131" t="str">
        <f>HYPERLINK("https://inventaire.cncp.gouv.fr/fiches/2261/","2261")</f>
        <v>2261</v>
      </c>
      <c r="E1131" t="str">
        <f>HYPERLINK("http://www.intercariforef.org/formations/certification-93983.html","93983")</f>
        <v>93983</v>
      </c>
      <c r="F1131" s="1">
        <v>42745</v>
      </c>
      <c r="G1131" s="1">
        <v>42745</v>
      </c>
    </row>
    <row r="1132">
      <c r="A1132" t="str">
        <v>Informatique</v>
      </c>
      <c r="B1132" t="str">
        <v>Homologuer des applications informatiques</v>
      </c>
      <c r="C1132" t="str">
        <v>FITEC</v>
      </c>
      <c r="D1132" t="str">
        <f>HYPERLINK("https://inventaire.cncp.gouv.fr/fiches/3277/","3277")</f>
        <v>3277</v>
      </c>
      <c r="E1132" t="str">
        <f>HYPERLINK("http://www.intercariforef.org/formations/certification-100179.html","100179")</f>
        <v>100179</v>
      </c>
      <c r="F1132" s="1">
        <v>43154</v>
      </c>
      <c r="G1132" s="1">
        <v>43154</v>
      </c>
    </row>
    <row r="1133">
      <c r="A1133" t="str">
        <v>Informatique</v>
      </c>
      <c r="B1133" t="str">
        <v>IBM Certfied Tivoli Netcool/OMNIbus</v>
      </c>
      <c r="C1133" t="str">
        <v>IBM</v>
      </c>
      <c r="D1133" t="str">
        <f>HYPERLINK("https://inventaire.cncp.gouv.fr/fiches/1025/","1025")</f>
        <v>1025</v>
      </c>
      <c r="E1133" t="str">
        <f>HYPERLINK("http://www.intercariforef.org/formations/certification-85024.html","85024")</f>
        <v>85024</v>
      </c>
      <c r="F1133" s="1">
        <v>42185</v>
      </c>
      <c r="G1133" s="1">
        <v>42185</v>
      </c>
    </row>
    <row r="1134">
      <c r="A1134" t="str">
        <v>Informatique</v>
      </c>
      <c r="B1134" t="str">
        <v>IBM Certified Administrator - PureData System for Transactions</v>
      </c>
      <c r="C1134" t="str">
        <v>IBM</v>
      </c>
      <c r="D1134" t="str">
        <f>HYPERLINK("https://inventaire.cncp.gouv.fr/fiches/826/","826")</f>
        <v>826</v>
      </c>
      <c r="E1134" t="str">
        <f>HYPERLINK("http://www.intercariforef.org/formations/certification-85002.html","85002")</f>
        <v>85002</v>
      </c>
      <c r="F1134" s="1">
        <v>42184</v>
      </c>
      <c r="G1134" s="1">
        <v>42184</v>
      </c>
    </row>
    <row r="1135">
      <c r="A1135" t="str">
        <v>Informatique</v>
      </c>
      <c r="B1135" t="str">
        <v>IBM Certified Administrator - Security Guardium</v>
      </c>
      <c r="C1135" t="str">
        <v>IBM</v>
      </c>
      <c r="D1135" t="str">
        <f>HYPERLINK("https://inventaire.cncp.gouv.fr/fiches/3242/","3242")</f>
        <v>3242</v>
      </c>
      <c r="E1135" t="str">
        <f>HYPERLINK("http://www.intercariforef.org/formations/certification-100113.html","100113")</f>
        <v>100113</v>
      </c>
      <c r="F1135" s="1">
        <v>43153</v>
      </c>
      <c r="G1135" s="1">
        <v>43153</v>
      </c>
    </row>
    <row r="1136">
      <c r="A1136" t="str">
        <v>Informatique</v>
      </c>
      <c r="B1136" t="str">
        <v>IBM Certified Administrator - Sterling Connect Direct</v>
      </c>
      <c r="C1136" t="str">
        <v>IBM</v>
      </c>
      <c r="D1136" t="str">
        <f>HYPERLINK("https://inventaire.cncp.gouv.fr/fiches/1017/","1017")</f>
        <v>1017</v>
      </c>
      <c r="E1136" t="str">
        <f>HYPERLINK("http://www.intercariforef.org/formations/certification-85011.html","85011")</f>
        <v>85011</v>
      </c>
      <c r="F1136" s="1">
        <v>42184</v>
      </c>
      <c r="G1136" s="1">
        <v>42184</v>
      </c>
    </row>
    <row r="1137">
      <c r="A1137" t="str">
        <v>Informatique</v>
      </c>
      <c r="B1137" t="str">
        <v>IBM Certified Advanced Application Developer - Notes and Domino</v>
      </c>
      <c r="C1137" t="str">
        <v>IBM</v>
      </c>
      <c r="D1137" t="str">
        <f>HYPERLINK("https://inventaire.cncp.gouv.fr/fiches/2439/","2439")</f>
        <v>2439</v>
      </c>
      <c r="E1137" t="str">
        <f>HYPERLINK("http://www.intercariforef.org/formations/certification-94991.html","94991")</f>
        <v>94991</v>
      </c>
      <c r="F1137" s="1">
        <v>42838</v>
      </c>
      <c r="G1137" s="1">
        <v>42838</v>
      </c>
    </row>
    <row r="1138">
      <c r="A1138" t="str">
        <v>Informatique</v>
      </c>
      <c r="B1138" t="str">
        <v>IBM Certified Advanced Database Administrator - for Linux, UNIX and Windows</v>
      </c>
      <c r="C1138" t="str">
        <v>IBM</v>
      </c>
      <c r="D1138" t="str">
        <f>HYPERLINK("https://inventaire.cncp.gouv.fr/fiches/1035/","1035")</f>
        <v>1035</v>
      </c>
      <c r="E1138" t="str">
        <f>HYPERLINK("http://www.intercariforef.org/formations/certification-85025.html","85025")</f>
        <v>85025</v>
      </c>
      <c r="F1138" s="1">
        <v>42185</v>
      </c>
      <c r="G1138" s="1">
        <v>42185</v>
      </c>
    </row>
    <row r="1139">
      <c r="A1139" t="str">
        <v>Informatique</v>
      </c>
      <c r="B1139" t="str">
        <v>IBM Certified Application Developer - CICS Transaction Server</v>
      </c>
      <c r="C1139" t="str">
        <v>IBM</v>
      </c>
      <c r="D1139" t="str">
        <f>HYPERLINK("https://inventaire.cncp.gouv.fr/fiches/829/","829")</f>
        <v>829</v>
      </c>
      <c r="E1139" t="str">
        <f>HYPERLINK("http://www.intercariforef.org/formations/certification-84995.html","84995")</f>
        <v>84995</v>
      </c>
      <c r="F1139" s="1">
        <v>42184</v>
      </c>
      <c r="G1139" s="1">
        <v>42184</v>
      </c>
    </row>
    <row r="1140">
      <c r="A1140" t="str">
        <v>Informatique</v>
      </c>
      <c r="B1140" t="str">
        <v>IBM Certified Application Developer - Cúram</v>
      </c>
      <c r="C1140" t="str">
        <v>IBM</v>
      </c>
      <c r="D1140" t="str">
        <f>HYPERLINK("https://inventaire.cncp.gouv.fr/fiches/1950/","1950")</f>
        <v>1950</v>
      </c>
      <c r="E1140" t="str">
        <f>HYPERLINK("http://www.intercariforef.org/formations/certification-90115.html","90115")</f>
        <v>90115</v>
      </c>
      <c r="F1140" s="1">
        <v>42562</v>
      </c>
      <c r="G1140" s="1">
        <v>42718</v>
      </c>
    </row>
    <row r="1141">
      <c r="A1141" t="str">
        <v>Informatique</v>
      </c>
      <c r="B1141" t="str">
        <v>IBM Certified Application Developer - DB2 for z/OS</v>
      </c>
      <c r="C1141" t="str">
        <v>IBM</v>
      </c>
      <c r="D1141" t="str">
        <f>HYPERLINK("https://inventaire.cncp.gouv.fr/fiches/1281/","1281")</f>
        <v>1281</v>
      </c>
      <c r="E1141" t="str">
        <f>HYPERLINK("http://www.intercariforef.org/formations/certification-90137.html","90137")</f>
        <v>90137</v>
      </c>
      <c r="F1141" s="1">
        <v>42562</v>
      </c>
      <c r="G1141" s="1">
        <v>42718</v>
      </c>
    </row>
    <row r="1142">
      <c r="A1142" t="str">
        <v>Informatique</v>
      </c>
      <c r="B1142" t="str">
        <v>IBM Certified Application Developer - Operational Decision Manager Advanced</v>
      </c>
      <c r="C1142" t="str">
        <v>IBM</v>
      </c>
      <c r="D1142" t="str">
        <f>HYPERLINK("https://inventaire.cncp.gouv.fr/fiches/1293/","1293")</f>
        <v>1293</v>
      </c>
      <c r="E1142" t="str">
        <f>HYPERLINK("http://www.intercariforef.org/formations/certification-88371.html","88371")</f>
        <v>88371</v>
      </c>
      <c r="F1142" s="1">
        <v>42460</v>
      </c>
      <c r="G1142" s="1">
        <v>42718</v>
      </c>
    </row>
    <row r="1143">
      <c r="A1143" t="str">
        <v>Informatique</v>
      </c>
      <c r="B1143" t="str">
        <v>IBM Certified Associate - MobileFirst Protect</v>
      </c>
      <c r="C1143" t="str">
        <v>IBM</v>
      </c>
      <c r="D1143" t="str">
        <f>HYPERLINK("https://inventaire.cncp.gouv.fr/fiches/2529/","2529")</f>
        <v>2529</v>
      </c>
      <c r="E1143" t="str">
        <f>HYPERLINK("http://www.intercariforef.org/formations/certification-94953.html","94953")</f>
        <v>94953</v>
      </c>
      <c r="F1143" s="1">
        <v>42837</v>
      </c>
      <c r="G1143" s="1">
        <v>42837</v>
      </c>
    </row>
    <row r="1144">
      <c r="A1144" t="str">
        <v>Informatique</v>
      </c>
      <c r="B1144" t="str">
        <v>IBM Certified Associate - Security QRadar</v>
      </c>
      <c r="C1144" t="str">
        <v>IBM</v>
      </c>
      <c r="D1144" t="str">
        <f>HYPERLINK("https://inventaire.cncp.gouv.fr/fiches/632/","632")</f>
        <v>632</v>
      </c>
      <c r="E1144" t="str">
        <f>HYPERLINK("http://www.intercariforef.org/formations/certification-84935.html","84935")</f>
        <v>84935</v>
      </c>
      <c r="F1144" s="1">
        <v>42178</v>
      </c>
      <c r="G1144" s="1">
        <v>42178</v>
      </c>
    </row>
    <row r="1145">
      <c r="A1145" t="str">
        <v>Informatique</v>
      </c>
      <c r="B1145" t="str">
        <v>IBM Certified Associate - Security Trusteer Apex Advanced Malware Protection Fundamentals</v>
      </c>
      <c r="C1145" t="str">
        <v>IBM</v>
      </c>
      <c r="D1145" t="str">
        <f>HYPERLINK("https://inventaire.cncp.gouv.fr/fiches/1941/","1941")</f>
        <v>1941</v>
      </c>
      <c r="E1145" t="str">
        <f>HYPERLINK("http://www.intercariforef.org/formations/certification-90121.html","90121")</f>
        <v>90121</v>
      </c>
      <c r="F1145" s="1">
        <v>42562</v>
      </c>
      <c r="G1145" s="1">
        <v>42718</v>
      </c>
    </row>
    <row r="1146">
      <c r="A1146" t="str">
        <v>Informatique</v>
      </c>
      <c r="B1146" t="str">
        <v>IBM Certified Associate - Security Trusteer Fraud Protection</v>
      </c>
      <c r="C1146" t="str">
        <v>IBM</v>
      </c>
      <c r="D1146" t="str">
        <f>HYPERLINK("https://inventaire.cncp.gouv.fr/fiches/2000/","2000")</f>
        <v>2000</v>
      </c>
      <c r="E1146" t="str">
        <f>HYPERLINK("http://www.intercariforef.org/formations/certification-90105.html","90105")</f>
        <v>90105</v>
      </c>
      <c r="F1146" s="1">
        <v>42562</v>
      </c>
      <c r="G1146" s="1">
        <v>42718</v>
      </c>
    </row>
    <row r="1147">
      <c r="A1147" t="str">
        <v>Informatique</v>
      </c>
      <c r="B1147" t="str">
        <v>IBM Certified Associate - SPSS Modeler Data Analysis</v>
      </c>
      <c r="C1147" t="str">
        <v>IBM</v>
      </c>
      <c r="D1147" t="str">
        <f>HYPERLINK("https://inventaire.cncp.gouv.fr/fiches/883/","883")</f>
        <v>883</v>
      </c>
      <c r="E1147" t="str">
        <f>HYPERLINK("http://www.intercariforef.org/formations/certification-85005.html","85005")</f>
        <v>85005</v>
      </c>
      <c r="F1147" s="1">
        <v>42184</v>
      </c>
      <c r="G1147" s="1">
        <v>42718</v>
      </c>
    </row>
    <row r="1148">
      <c r="A1148" t="str">
        <v>Informatique</v>
      </c>
      <c r="B1148" t="str">
        <v>IBM Certified Associate - SPSS Modeler Data Mining</v>
      </c>
      <c r="C1148" t="str">
        <v>IBM</v>
      </c>
      <c r="D1148" t="str">
        <f>HYPERLINK("https://inventaire.cncp.gouv.fr/fiches/996/","996")</f>
        <v>996</v>
      </c>
      <c r="E1148" t="str">
        <f>HYPERLINK("http://www.intercariforef.org/formations/certification-85006.html","85006")</f>
        <v>85006</v>
      </c>
      <c r="F1148" s="1">
        <v>42184</v>
      </c>
      <c r="G1148" s="1">
        <v>42184</v>
      </c>
    </row>
    <row r="1149">
      <c r="A1149" t="str">
        <v>Informatique</v>
      </c>
      <c r="B1149" t="str">
        <v>IBM Certified Associate Administrator - Security Guardium Data Protection</v>
      </c>
      <c r="C1149" t="str">
        <v>IBM</v>
      </c>
      <c r="D1149" t="str">
        <f>HYPERLINK("https://inventaire.cncp.gouv.fr/fiches/3353/","3353")</f>
        <v>3353</v>
      </c>
      <c r="E1149" t="str">
        <f>HYPERLINK("http://www.intercariforef.org/formations/certification-100045.html","100045")</f>
        <v>100045</v>
      </c>
      <c r="F1149" s="1">
        <v>43152</v>
      </c>
      <c r="G1149" s="1">
        <v>43153</v>
      </c>
    </row>
    <row r="1150">
      <c r="A1150" t="str">
        <v>Informatique</v>
      </c>
      <c r="B1150" t="str">
        <v>IBM Certified Associate Business Process Analyst - Cúram</v>
      </c>
      <c r="C1150" t="str">
        <v>IBM</v>
      </c>
      <c r="D1150" t="str">
        <f>HYPERLINK("https://inventaire.cncp.gouv.fr/fiches/1286/","1286")</f>
        <v>1286</v>
      </c>
      <c r="E1150" t="str">
        <f>HYPERLINK("http://www.intercariforef.org/formations/certification-90133.html","90133")</f>
        <v>90133</v>
      </c>
      <c r="F1150" s="1">
        <v>42562</v>
      </c>
      <c r="G1150" s="1">
        <v>42718</v>
      </c>
    </row>
    <row r="1151">
      <c r="A1151" t="str">
        <v>Informatique</v>
      </c>
      <c r="B1151" t="str">
        <v>IBM Certified Associate System Administrator - AIX</v>
      </c>
      <c r="C1151" t="str">
        <v>IBM</v>
      </c>
      <c r="D1151" t="str">
        <f>HYPERLINK("https://inventaire.cncp.gouv.fr/fiches/1019/","1019")</f>
        <v>1019</v>
      </c>
      <c r="E1151" t="str">
        <f>HYPERLINK("http://www.intercariforef.org/formations/certification-84998.html","84998")</f>
        <v>84998</v>
      </c>
      <c r="F1151" s="1">
        <v>42184</v>
      </c>
      <c r="G1151" s="1">
        <v>42184</v>
      </c>
    </row>
    <row r="1152">
      <c r="A1152" t="str">
        <v>Informatique</v>
      </c>
      <c r="B1152" t="str">
        <v>IBM Certified Associate System Administrator - IBM i 7</v>
      </c>
      <c r="C1152" t="str">
        <v>IBM</v>
      </c>
      <c r="D1152" t="str">
        <f>HYPERLINK("https://inventaire.cncp.gouv.fr/fiches/1005/","1005")</f>
        <v>1005</v>
      </c>
      <c r="E1152" t="str">
        <f>HYPERLINK("http://www.intercariforef.org/formations/certification-85010.html","85010")</f>
        <v>85010</v>
      </c>
      <c r="F1152" s="1">
        <v>42184</v>
      </c>
      <c r="G1152" s="1">
        <v>42184</v>
      </c>
    </row>
    <row r="1153">
      <c r="A1153" t="str">
        <v>Informatique</v>
      </c>
      <c r="B1153" t="str">
        <v>IBM Certified BPM Analyst - Blueworks Live</v>
      </c>
      <c r="C1153" t="str">
        <v>IBM</v>
      </c>
      <c r="D1153" t="str">
        <f>HYPERLINK("https://inventaire.cncp.gouv.fr/fiches/1908/","1908")</f>
        <v>1908</v>
      </c>
      <c r="E1153" t="str">
        <f>HYPERLINK("http://www.intercariforef.org/formations/certification-90127.html","90127")</f>
        <v>90127</v>
      </c>
      <c r="F1153" s="1">
        <v>42562</v>
      </c>
      <c r="G1153" s="1">
        <v>42718</v>
      </c>
    </row>
    <row r="1154">
      <c r="A1154" t="str">
        <v>Informatique</v>
      </c>
      <c r="B1154" t="str">
        <v>IBM Certified BPM System Administration - Business Process Manager Advanced</v>
      </c>
      <c r="C1154" t="str">
        <v>IBM</v>
      </c>
      <c r="D1154" t="str">
        <f>HYPERLINK("https://inventaire.cncp.gouv.fr/fiches/2238/","2238")</f>
        <v>2238</v>
      </c>
      <c r="E1154" t="str">
        <f>HYPERLINK("http://www.intercariforef.org/formations/certification-95005.html","95005")</f>
        <v>95005</v>
      </c>
      <c r="F1154" s="1">
        <v>42838</v>
      </c>
      <c r="G1154" s="1">
        <v>42838</v>
      </c>
    </row>
    <row r="1155">
      <c r="A1155" t="str">
        <v>Informatique</v>
      </c>
      <c r="B1155" t="str">
        <v>IBM Certified Deployment Professional - Datacap</v>
      </c>
      <c r="C1155" t="str">
        <v>IBM</v>
      </c>
      <c r="D1155" t="str">
        <f>HYPERLINK("https://inventaire.cncp.gouv.fr/fiches/2374/","2374")</f>
        <v>2374</v>
      </c>
      <c r="E1155" t="str">
        <f>HYPERLINK("http://www.intercariforef.org/formations/certification-94997.html","94997")</f>
        <v>94997</v>
      </c>
      <c r="F1155" s="1">
        <v>42838</v>
      </c>
      <c r="G1155" s="1">
        <v>42838</v>
      </c>
    </row>
    <row r="1156" ht="26.2" customHeight="1">
      <c r="A1156" t="str">
        <v>Informatique</v>
      </c>
      <c r="B1156" t="str">
        <v>IBM Certified Deployment Professional - FileNet P8</v>
      </c>
      <c r="C1156" t="str">
        <v>CPNE des bureaux d'études techniques, cabinets d'ingénieurs conseils et sociétés de conseils, IBM</v>
      </c>
      <c r="D1156" t="str">
        <f>HYPERLINK("https://inventaire.cncp.gouv.fr/fiches/1274/","1274")</f>
        <v>1274</v>
      </c>
      <c r="E1156" t="str">
        <f>HYPERLINK("http://www.intercariforef.org/formations/certification-85594.html","85594")</f>
        <v>85594</v>
      </c>
      <c r="F1156" s="1">
        <v>42269</v>
      </c>
      <c r="G1156" s="1">
        <v>42269</v>
      </c>
    </row>
    <row r="1157">
      <c r="A1157" t="str">
        <v>Informatique</v>
      </c>
      <c r="B1157" t="str">
        <v>IBM Certified Deployment Professional - Security Directory Server</v>
      </c>
      <c r="C1157" t="str">
        <v>IBM</v>
      </c>
      <c r="D1157" t="str">
        <f>HYPERLINK("https://inventaire.cncp.gouv.fr/fiches/863/","863")</f>
        <v>863</v>
      </c>
      <c r="E1157" t="str">
        <f>HYPERLINK("http://www.intercariforef.org/formations/certification-85036.html","85036")</f>
        <v>85036</v>
      </c>
      <c r="F1157" s="1">
        <v>42185</v>
      </c>
      <c r="G1157" s="1">
        <v>42718</v>
      </c>
    </row>
    <row r="1158">
      <c r="A1158" t="str">
        <v>Informatique</v>
      </c>
      <c r="B1158" t="str">
        <v>IBM Certified Deployment Professional - Security Identity Manager</v>
      </c>
      <c r="C1158" t="str">
        <v>IBM</v>
      </c>
      <c r="D1158" t="str">
        <f>HYPERLINK("https://inventaire.cncp.gouv.fr/fiches/811/","811")</f>
        <v>811</v>
      </c>
      <c r="E1158" t="str">
        <f>HYPERLINK("http://www.intercariforef.org/formations/certification-85008.html","85008")</f>
        <v>85008</v>
      </c>
      <c r="F1158" s="1">
        <v>42184</v>
      </c>
      <c r="G1158" s="1">
        <v>42718</v>
      </c>
    </row>
    <row r="1159">
      <c r="A1159" t="str">
        <v>Informatique</v>
      </c>
      <c r="B1159" t="str">
        <v>IBM Certified Deployment Professional - Security Systems SiteProtector</v>
      </c>
      <c r="C1159" t="str">
        <v>IBM</v>
      </c>
      <c r="D1159" t="str">
        <f>HYPERLINK("https://inventaire.cncp.gouv.fr/fiches/856/","856")</f>
        <v>856</v>
      </c>
      <c r="E1159" t="str">
        <f>HYPERLINK("http://www.intercariforef.org/formations/certification-84994.html","84994")</f>
        <v>84994</v>
      </c>
      <c r="F1159" s="1">
        <v>42184</v>
      </c>
      <c r="G1159" s="1">
        <v>42718</v>
      </c>
    </row>
    <row r="1160">
      <c r="A1160" t="str">
        <v>Informatique</v>
      </c>
      <c r="B1160" t="str">
        <v>IBM Certified Deployment Professional - Spectrum Protect</v>
      </c>
      <c r="C1160" t="str">
        <v>IBM</v>
      </c>
      <c r="D1160" t="str">
        <f>HYPERLINK("https://inventaire.cncp.gouv.fr/fiches/3062/","3062")</f>
        <v>3062</v>
      </c>
      <c r="E1160" t="str">
        <f>HYPERLINK("http://www.intercariforef.org/formations/certification-100143.html","100143")</f>
        <v>100143</v>
      </c>
      <c r="F1160" s="1">
        <v>43153</v>
      </c>
      <c r="G1160" s="1">
        <v>43153</v>
      </c>
    </row>
    <row r="1161" ht="26.2" customHeight="1">
      <c r="A1161" t="str">
        <v>Informatique</v>
      </c>
      <c r="B1161" t="str">
        <v>IBM Certified Deployment Professional - Sterling Configurator</v>
      </c>
      <c r="C1161" t="str">
        <v>CPNE des bureaux d'études techniques, cabinets d'ingénieurs conseils et sociétés de conseils, IBM</v>
      </c>
      <c r="D1161" t="str">
        <f>HYPERLINK("https://inventaire.cncp.gouv.fr/fiches/1193/","1193")</f>
        <v>1193</v>
      </c>
      <c r="E1161" t="str">
        <f>HYPERLINK("http://www.intercariforef.org/formations/certification-85605.html","85605")</f>
        <v>85605</v>
      </c>
      <c r="F1161" s="1">
        <v>42269</v>
      </c>
      <c r="G1161" s="1">
        <v>42718</v>
      </c>
    </row>
    <row r="1162" ht="26.2" customHeight="1">
      <c r="A1162" t="str">
        <v>Informatique</v>
      </c>
      <c r="B1162" t="str">
        <v>IBM Certified Deployment Professional - Sterling Order Management</v>
      </c>
      <c r="C1162" t="str">
        <v>CPNE des bureaux d'études techniques, cabinets d'ingénieurs conseils et sociétés de conseils, IBM</v>
      </c>
      <c r="D1162" t="str">
        <f>HYPERLINK("https://inventaire.cncp.gouv.fr/fiches/1192/","1192")</f>
        <v>1192</v>
      </c>
      <c r="E1162" t="str">
        <f>HYPERLINK("http://www.intercariforef.org/formations/certification-85608.html","85608")</f>
        <v>85608</v>
      </c>
      <c r="F1162" s="1">
        <v>42269</v>
      </c>
      <c r="G1162" s="1">
        <v>42718</v>
      </c>
    </row>
    <row r="1163">
      <c r="A1163" t="str">
        <v>Informatique</v>
      </c>
      <c r="B1163" t="str">
        <v>IBM Certified Deployment Professional - Tivoli Directory Integrator</v>
      </c>
      <c r="C1163" t="str">
        <v>IBM</v>
      </c>
      <c r="D1163" t="str">
        <f>HYPERLINK("https://inventaire.cncp.gouv.fr/fiches/812/","812")</f>
        <v>812</v>
      </c>
      <c r="E1163" t="str">
        <f>HYPERLINK("http://www.intercariforef.org/formations/certification-85016.html","85016")</f>
        <v>85016</v>
      </c>
      <c r="F1163" s="1">
        <v>42184</v>
      </c>
      <c r="G1163" s="1">
        <v>42718</v>
      </c>
    </row>
    <row r="1164" ht="26.2" customHeight="1">
      <c r="A1164" t="str">
        <v>Informatique</v>
      </c>
      <c r="B1164" t="str">
        <v>IBM Certified Deployment Professional - Tivoli Storage Manager</v>
      </c>
      <c r="C1164" t="str">
        <v>CPNE des bureaux d'études techniques, cabinets d'ingénieurs conseils et sociétés de conseils, IBM</v>
      </c>
      <c r="D1164" t="str">
        <f>HYPERLINK("https://inventaire.cncp.gouv.fr/fiches/1291/","1291")</f>
        <v>1291</v>
      </c>
      <c r="E1164" t="str">
        <f>HYPERLINK("http://www.intercariforef.org/formations/certification-85590.html","85590")</f>
        <v>85590</v>
      </c>
      <c r="F1164" s="1">
        <v>42269</v>
      </c>
      <c r="G1164" s="1">
        <v>42269</v>
      </c>
    </row>
    <row r="1165">
      <c r="A1165" t="str">
        <v>Informatique</v>
      </c>
      <c r="B1165" t="str">
        <v>IBM Certified Designer - Cognos BI Multidimensional Reports</v>
      </c>
      <c r="C1165" t="str">
        <v>IBM</v>
      </c>
      <c r="D1165" t="str">
        <f>HYPERLINK("https://inventaire.cncp.gouv.fr/fiches/2262/","2262")</f>
        <v>2262</v>
      </c>
      <c r="E1165" t="str">
        <f>HYPERLINK("http://www.intercariforef.org/formations/certification-94093.html","94093")</f>
        <v>94093</v>
      </c>
      <c r="F1165" s="1">
        <v>42760</v>
      </c>
      <c r="G1165" s="1">
        <v>42979</v>
      </c>
    </row>
    <row r="1166">
      <c r="A1166" t="str">
        <v>Informatique</v>
      </c>
      <c r="B1166" t="str">
        <v>IBM Certified Developer - API Management</v>
      </c>
      <c r="C1166" t="str">
        <v>IBM</v>
      </c>
      <c r="D1166" t="str">
        <f>HYPERLINK("https://inventaire.cncp.gouv.fr/fiches/1954/","1954")</f>
        <v>1954</v>
      </c>
      <c r="E1166" t="str">
        <f>HYPERLINK("http://www.intercariforef.org/formations/certification-90111.html","90111")</f>
        <v>90111</v>
      </c>
      <c r="F1166" s="1">
        <v>42562</v>
      </c>
      <c r="G1166" s="1">
        <v>42718</v>
      </c>
    </row>
    <row r="1167">
      <c r="A1167" t="str">
        <v>Informatique</v>
      </c>
      <c r="B1167" t="str">
        <v>IBM Certified Developer - Cognos BI OLAP Models</v>
      </c>
      <c r="C1167" t="str">
        <v>IBM</v>
      </c>
      <c r="D1167" t="str">
        <f>HYPERLINK("https://inventaire.cncp.gouv.fr/fiches/1021/","1021")</f>
        <v>1021</v>
      </c>
      <c r="E1167" t="str">
        <f>HYPERLINK("http://www.intercariforef.org/formations/certification-85022.html","85022")</f>
        <v>85022</v>
      </c>
      <c r="F1167" s="1">
        <v>42184</v>
      </c>
      <c r="G1167" s="1">
        <v>42718</v>
      </c>
    </row>
    <row r="1168">
      <c r="A1168" t="str">
        <v>Informatique</v>
      </c>
      <c r="B1168" t="str">
        <v>IBM Certified Developer - Cognos TM1</v>
      </c>
      <c r="C1168" t="str">
        <v>IBM</v>
      </c>
      <c r="D1168" t="str">
        <f>HYPERLINK("https://inventaire.cncp.gouv.fr/fiches/911/","911")</f>
        <v>911</v>
      </c>
      <c r="E1168" t="str">
        <f>HYPERLINK("http://www.intercariforef.org/formations/certification-85034.html","85034")</f>
        <v>85034</v>
      </c>
      <c r="F1168" s="1">
        <v>42185</v>
      </c>
      <c r="G1168" s="1">
        <v>42185</v>
      </c>
    </row>
    <row r="1169">
      <c r="A1169" t="str">
        <v>Informatique</v>
      </c>
      <c r="B1169" t="str">
        <v>IBM Certified Implementation Professional - Tealeaf Customer Experience Management</v>
      </c>
      <c r="C1169" t="str">
        <v>IBM</v>
      </c>
      <c r="D1169" t="str">
        <f>HYPERLINK("https://inventaire.cncp.gouv.fr/fiches/2239/","2239")</f>
        <v>2239</v>
      </c>
      <c r="E1169" t="str">
        <f>HYPERLINK("http://www.intercariforef.org/formations/certification-95003.html","95003")</f>
        <v>95003</v>
      </c>
      <c r="F1169" s="1">
        <v>42838</v>
      </c>
      <c r="G1169" s="1">
        <v>42838</v>
      </c>
    </row>
    <row r="1170">
      <c r="A1170" t="str">
        <v>Informatique</v>
      </c>
      <c r="B1170" t="str">
        <v>IBM certified integration developer - business process manager advanced</v>
      </c>
      <c r="C1170" t="str">
        <v>IBM</v>
      </c>
      <c r="D1170" t="str">
        <f>HYPERLINK("https://inventaire.cncp.gouv.fr/fiches/1563/","1563")</f>
        <v>1563</v>
      </c>
      <c r="E1170" t="str">
        <f>HYPERLINK("http://www.intercariforef.org/formations/certification-86358.html","86358")</f>
        <v>86358</v>
      </c>
      <c r="F1170" s="1">
        <v>42340</v>
      </c>
      <c r="G1170" s="1">
        <v>42340</v>
      </c>
    </row>
    <row r="1171" ht="26.2" customHeight="1">
      <c r="A1171" t="str">
        <v>Informatique</v>
      </c>
      <c r="B1171" t="str">
        <v>IBM Certified Integration Professional - MobileFirst Protect Cloud Extender and Enterprise Gateway</v>
      </c>
      <c r="C1171" t="str">
        <v>IBM</v>
      </c>
      <c r="D1171" t="str">
        <f>HYPERLINK("https://inventaire.cncp.gouv.fr/fiches/2386/","2386")</f>
        <v>2386</v>
      </c>
      <c r="E1171" t="str">
        <f>HYPERLINK("http://www.intercariforef.org/formations/certification-94993.html","94993")</f>
        <v>94993</v>
      </c>
      <c r="F1171" s="1">
        <v>42838</v>
      </c>
      <c r="G1171" s="1">
        <v>42838</v>
      </c>
    </row>
    <row r="1172">
      <c r="A1172" t="str">
        <v>Informatique</v>
      </c>
      <c r="B1172" t="str">
        <v>IBM Certified Mobile Application Developer - Worklight Foundation</v>
      </c>
      <c r="C1172" t="str">
        <v>IBM</v>
      </c>
      <c r="D1172" t="str">
        <f>HYPERLINK("https://inventaire.cncp.gouv.fr/fiches/1263/","1263")</f>
        <v>1263</v>
      </c>
      <c r="E1172" t="str">
        <f>HYPERLINK("http://www.intercariforef.org/formations/certification-90141.html","90141")</f>
        <v>90141</v>
      </c>
      <c r="F1172" s="1">
        <v>42562</v>
      </c>
      <c r="G1172" s="1">
        <v>42718</v>
      </c>
    </row>
    <row r="1173">
      <c r="A1173" t="str">
        <v>Informatique</v>
      </c>
      <c r="B1173" t="str">
        <v>IBM Certified Mobile System Administrator - Worklight Foundation</v>
      </c>
      <c r="C1173" t="str">
        <v>IBM</v>
      </c>
      <c r="D1173" t="str">
        <f>HYPERLINK("https://inventaire.cncp.gouv.fr/fiches/896/","896")</f>
        <v>896</v>
      </c>
      <c r="E1173" t="str">
        <f>HYPERLINK("http://www.intercariforef.org/formations/certification-85000.html","85000")</f>
        <v>85000</v>
      </c>
      <c r="F1173" s="1">
        <v>42184</v>
      </c>
      <c r="G1173" s="1">
        <v>42184</v>
      </c>
    </row>
    <row r="1174">
      <c r="A1174" t="str">
        <v>Informatique</v>
      </c>
      <c r="B1174" t="str">
        <v>IBM Certified Solution Advisor - Big Data &amp; Analytics</v>
      </c>
      <c r="C1174" t="str">
        <v>IBM</v>
      </c>
      <c r="D1174" t="str">
        <f>HYPERLINK("https://inventaire.cncp.gouv.fr/fiches/2244/","2244")</f>
        <v>2244</v>
      </c>
      <c r="E1174" t="str">
        <f>HYPERLINK("http://www.intercariforef.org/formations/certification-95001.html","95001")</f>
        <v>95001</v>
      </c>
      <c r="F1174" s="1">
        <v>42838</v>
      </c>
      <c r="G1174" s="1">
        <v>42838</v>
      </c>
    </row>
    <row r="1175">
      <c r="A1175" t="str">
        <v>Informatique</v>
      </c>
      <c r="B1175" t="str">
        <v>IBM Certified Solution Advisor - Cloud Computing Architecture</v>
      </c>
      <c r="C1175" t="str">
        <v>IBM</v>
      </c>
      <c r="D1175" t="str">
        <f>HYPERLINK("https://inventaire.cncp.gouv.fr/fiches/1574/","1574")</f>
        <v>1574</v>
      </c>
      <c r="E1175" t="str">
        <f>HYPERLINK("http://www.intercariforef.org/formations/certification-88375.html","88375")</f>
        <v>88375</v>
      </c>
      <c r="F1175" s="1">
        <v>42460</v>
      </c>
      <c r="G1175" s="1">
        <v>42718</v>
      </c>
    </row>
    <row r="1176">
      <c r="A1176" t="str">
        <v>Informatique</v>
      </c>
      <c r="B1176" t="str">
        <v>IBM Certified Solution Advisor - Maximo Asset Management Solutions</v>
      </c>
      <c r="C1176" t="str">
        <v>IBM</v>
      </c>
      <c r="D1176" t="str">
        <f>HYPERLINK("https://inventaire.cncp.gouv.fr/fiches/1571/","1571")</f>
        <v>1571</v>
      </c>
      <c r="E1176" t="str">
        <f>HYPERLINK("http://www.intercariforef.org/formations/certification-88369.html","88369")</f>
        <v>88369</v>
      </c>
      <c r="F1176" s="1">
        <v>42460</v>
      </c>
      <c r="G1176" s="1">
        <v>42718</v>
      </c>
    </row>
    <row r="1177">
      <c r="A1177" t="str">
        <v>Informatique</v>
      </c>
      <c r="B1177" t="str">
        <v>IBM Certified Solution Advisor - SoftLayer</v>
      </c>
      <c r="C1177" t="str">
        <v>IBM</v>
      </c>
      <c r="D1177" t="str">
        <f>HYPERLINK("https://inventaire.cncp.gouv.fr/fiches/2891/","2891")</f>
        <v>2891</v>
      </c>
      <c r="E1177" t="str">
        <f>HYPERLINK("http://www.intercariforef.org/formations/certification-100145.html","100145")</f>
        <v>100145</v>
      </c>
      <c r="F1177" s="1">
        <v>43153</v>
      </c>
      <c r="G1177" s="1">
        <v>43153</v>
      </c>
    </row>
    <row r="1178">
      <c r="A1178" t="str">
        <v>Informatique</v>
      </c>
      <c r="B1178" t="str">
        <v>IBM Certified Solution Architect - SoftLayer</v>
      </c>
      <c r="C1178" t="str">
        <v>IBM</v>
      </c>
      <c r="D1178" t="str">
        <f>HYPERLINK("https://inventaire.cncp.gouv.fr/fiches/2863/","2863")</f>
        <v>2863</v>
      </c>
      <c r="E1178" t="str">
        <f>HYPERLINK("http://www.intercariforef.org/formations/certification-98651.html","98651")</f>
        <v>98651</v>
      </c>
      <c r="F1178" s="1">
        <v>43038</v>
      </c>
      <c r="G1178" s="1">
        <v>43038</v>
      </c>
    </row>
    <row r="1179">
      <c r="A1179" t="str">
        <v>Informatique</v>
      </c>
      <c r="B1179" t="str">
        <v>IBM Certified Solution Designer - Case Manager</v>
      </c>
      <c r="C1179" t="str">
        <v>IBM</v>
      </c>
      <c r="D1179" t="str">
        <f>HYPERLINK("https://inventaire.cncp.gouv.fr/fiches/1191/","1191")</f>
        <v>1191</v>
      </c>
      <c r="E1179" t="str">
        <f>HYPERLINK("http://www.intercariforef.org/formations/certification-85611.html","85611")</f>
        <v>85611</v>
      </c>
      <c r="F1179" s="1">
        <v>42269</v>
      </c>
      <c r="G1179" s="1">
        <v>42979</v>
      </c>
    </row>
    <row r="1180">
      <c r="A1180" t="str">
        <v>Informatique</v>
      </c>
      <c r="B1180" t="str">
        <v>IBM Certified Solution Designer - Content Manager</v>
      </c>
      <c r="C1180" t="str">
        <v>IBM</v>
      </c>
      <c r="D1180" t="str">
        <f>HYPERLINK("https://inventaire.cncp.gouv.fr/fiches/2530/","2530")</f>
        <v>2530</v>
      </c>
      <c r="E1180" t="str">
        <f>HYPERLINK("http://www.intercariforef.org/formations/certification-94951.html","94951")</f>
        <v>94951</v>
      </c>
      <c r="F1180" s="1">
        <v>42837</v>
      </c>
      <c r="G1180" s="1">
        <v>42979</v>
      </c>
    </row>
    <row r="1181">
      <c r="A1181" t="str">
        <v>Informatique</v>
      </c>
      <c r="B1181" t="str">
        <v>IBM Certified Solution Designer - Content Navigator</v>
      </c>
      <c r="C1181" t="str">
        <v>IBM</v>
      </c>
      <c r="D1181" t="str">
        <f>HYPERLINK("https://inventaire.cncp.gouv.fr/fiches/2373/","2373")</f>
        <v>2373</v>
      </c>
      <c r="E1181" t="str">
        <f>HYPERLINK("http://www.intercariforef.org/formations/certification-94999.html","94999")</f>
        <v>94999</v>
      </c>
      <c r="F1181" s="1">
        <v>42838</v>
      </c>
      <c r="G1181" s="1">
        <v>42979</v>
      </c>
    </row>
    <row r="1182">
      <c r="A1182" t="str">
        <v>Informatique</v>
      </c>
      <c r="B1182" t="str">
        <v>IBM Certified Solution Designer - Sterling Order Management</v>
      </c>
      <c r="C1182" t="str">
        <v>IBM</v>
      </c>
      <c r="D1182" t="str">
        <f>HYPERLINK("https://inventaire.cncp.gouv.fr/fiches/1195/","1195")</f>
        <v>1195</v>
      </c>
      <c r="E1182" t="str">
        <f>HYPERLINK("http://www.intercariforef.org/formations/certification-85604.html","85604")</f>
        <v>85604</v>
      </c>
      <c r="F1182" s="1">
        <v>42269</v>
      </c>
      <c r="G1182" s="1">
        <v>42979</v>
      </c>
    </row>
    <row r="1183" ht="26.2" customHeight="1">
      <c r="A1183" t="str">
        <v>Informatique</v>
      </c>
      <c r="B1183" t="str">
        <v>IBM Certified Solution Developer - InfoSphere DataStage</v>
      </c>
      <c r="C1183" t="str">
        <v>CPNE des bureaux d'études techniques, cabinets d'ingénieurs conseils et sociétés de conseils, IBM</v>
      </c>
      <c r="D1183" t="str">
        <f>HYPERLINK("https://inventaire.cncp.gouv.fr/fiches/1076/","1076")</f>
        <v>1076</v>
      </c>
      <c r="E1183" t="str">
        <f>HYPERLINK("http://www.intercariforef.org/formations/certification-85614.html","85614")</f>
        <v>85614</v>
      </c>
      <c r="F1183" s="1">
        <v>42269</v>
      </c>
      <c r="G1183" s="1">
        <v>42718</v>
      </c>
    </row>
    <row r="1184" ht="26.2" customHeight="1">
      <c r="A1184" t="str">
        <v>Informatique</v>
      </c>
      <c r="B1184" t="str">
        <v>IBM Certified Solution Developer - InfoSphere QualityStage</v>
      </c>
      <c r="C1184" t="str">
        <v>CPNE des bureaux d'études techniques, cabinets d'ingénieurs conseils et sociétés de conseils, IBM</v>
      </c>
      <c r="D1184" t="str">
        <f>HYPERLINK("https://inventaire.cncp.gouv.fr/fiches/1206/","1206")</f>
        <v>1206</v>
      </c>
      <c r="E1184" t="str">
        <f>HYPERLINK("http://www.intercariforef.org/formations/certification-85597.html","85597")</f>
        <v>85597</v>
      </c>
      <c r="F1184" s="1">
        <v>42269</v>
      </c>
      <c r="G1184" s="1">
        <v>42718</v>
      </c>
    </row>
    <row r="1185">
      <c r="A1185" t="str">
        <v>Informatique</v>
      </c>
      <c r="B1185" t="str">
        <v>IBM Certified Solution Developer - Web Content Manager</v>
      </c>
      <c r="C1185" t="str">
        <v>IBM</v>
      </c>
      <c r="D1185" t="str">
        <f>HYPERLINK("https://inventaire.cncp.gouv.fr/fiches/741/","741")</f>
        <v>741</v>
      </c>
      <c r="E1185" t="str">
        <f>HYPERLINK("http://www.intercariforef.org/formations/certification-84934.html","84934")</f>
        <v>84934</v>
      </c>
      <c r="F1185" s="1">
        <v>42178</v>
      </c>
      <c r="G1185" s="1">
        <v>42178</v>
      </c>
    </row>
    <row r="1186">
      <c r="A1186" t="str">
        <v>Informatique</v>
      </c>
      <c r="B1186" t="str">
        <v>IBM Certified Solution Developer - WebSphere Message Broker</v>
      </c>
      <c r="C1186" t="str">
        <v>IBM</v>
      </c>
      <c r="D1186" t="str">
        <f>HYPERLINK("https://inventaire.cncp.gouv.fr/fiches/2011/","2011")</f>
        <v>2011</v>
      </c>
      <c r="E1186" t="str">
        <f>HYPERLINK("http://www.intercariforef.org/formations/certification-90103.html","90103")</f>
        <v>90103</v>
      </c>
      <c r="F1186" s="1">
        <v>42562</v>
      </c>
      <c r="G1186" s="1">
        <v>42562</v>
      </c>
    </row>
    <row r="1187">
      <c r="A1187" t="str">
        <v>Informatique</v>
      </c>
      <c r="B1187" t="str">
        <v>IBM Certified Solution Implementer - Sterling B2B Integrator</v>
      </c>
      <c r="C1187" t="str">
        <v>IBM</v>
      </c>
      <c r="D1187" t="str">
        <f>HYPERLINK("https://inventaire.cncp.gouv.fr/fiches/1007/","1007")</f>
        <v>1007</v>
      </c>
      <c r="E1187" t="str">
        <f>HYPERLINK("http://www.intercariforef.org/formations/certification-85015.html","85015")</f>
        <v>85015</v>
      </c>
      <c r="F1187" s="1">
        <v>42184</v>
      </c>
      <c r="G1187" s="1">
        <v>42718</v>
      </c>
    </row>
    <row r="1188">
      <c r="A1188" t="str">
        <v>Informatique</v>
      </c>
      <c r="B1188" t="str">
        <v>IBM Certified Specialist - Case Manager</v>
      </c>
      <c r="C1188" t="str">
        <v>IBM</v>
      </c>
      <c r="D1188" t="str">
        <f>HYPERLINK("https://inventaire.cncp.gouv.fr/fiches/2245/","2245")</f>
        <v>2245</v>
      </c>
      <c r="E1188" t="str">
        <f>HYPERLINK("http://www.intercariforef.org/formations/certification-94095.html","94095")</f>
        <v>94095</v>
      </c>
      <c r="F1188" s="1">
        <v>42760</v>
      </c>
      <c r="G1188" s="1">
        <v>42979</v>
      </c>
    </row>
    <row r="1189">
      <c r="A1189" t="str">
        <v>Informatique</v>
      </c>
      <c r="B1189" t="str">
        <v>IBM Certified Specialist - Filenet Content Manager</v>
      </c>
      <c r="C1189" t="str">
        <v>IBM</v>
      </c>
      <c r="D1189" t="str">
        <f>HYPERLINK("https://inventaire.cncp.gouv.fr/fiches/871/","871")</f>
        <v>871</v>
      </c>
      <c r="E1189" t="str">
        <f>HYPERLINK("http://www.intercariforef.org/formations/certification-85013.html","85013")</f>
        <v>85013</v>
      </c>
      <c r="F1189" s="1">
        <v>42184</v>
      </c>
      <c r="G1189" s="1">
        <v>42718</v>
      </c>
    </row>
    <row r="1190">
      <c r="A1190" t="str">
        <v>Informatique</v>
      </c>
      <c r="B1190" t="str">
        <v>IBM Certified Specialist - Security AppScan</v>
      </c>
      <c r="C1190" t="str">
        <v>IBM</v>
      </c>
      <c r="D1190" t="str">
        <f>HYPERLINK("https://inventaire.cncp.gouv.fr/fiches/823/","823")</f>
        <v>823</v>
      </c>
      <c r="E1190" t="str">
        <f>HYPERLINK("http://www.intercariforef.org/formations/certification-84997.html","84997")</f>
        <v>84997</v>
      </c>
      <c r="F1190" s="1">
        <v>42184</v>
      </c>
      <c r="G1190" s="1">
        <v>42718</v>
      </c>
    </row>
    <row r="1191">
      <c r="A1191" t="str">
        <v>Informatique</v>
      </c>
      <c r="B1191" t="str">
        <v>IBM Certified Specialist - z Systems Technical Support</v>
      </c>
      <c r="C1191" t="str">
        <v>IBM</v>
      </c>
      <c r="D1191" t="str">
        <f>HYPERLINK("https://inventaire.cncp.gouv.fr/fiches/2377/","2377")</f>
        <v>2377</v>
      </c>
      <c r="E1191" t="str">
        <f>HYPERLINK("http://www.intercariforef.org/formations/certification-94995.html","94995")</f>
        <v>94995</v>
      </c>
      <c r="F1191" s="1">
        <v>42838</v>
      </c>
      <c r="G1191" s="1">
        <v>42838</v>
      </c>
    </row>
    <row r="1192">
      <c r="A1192" t="str">
        <v>Informatique</v>
      </c>
      <c r="B1192" t="str">
        <v>IBM Certified Specialist System Z Technical</v>
      </c>
      <c r="C1192" t="str">
        <v>IBM</v>
      </c>
      <c r="D1192" t="str">
        <f>HYPERLINK("https://inventaire.cncp.gouv.fr/fiches/1020/","1020")</f>
        <v>1020</v>
      </c>
      <c r="E1192" t="str">
        <f>HYPERLINK("http://www.intercariforef.org/formations/certification-85020.html","85020")</f>
        <v>85020</v>
      </c>
      <c r="F1192" s="1">
        <v>42184</v>
      </c>
      <c r="G1192" s="1">
        <v>42184</v>
      </c>
    </row>
    <row r="1193">
      <c r="A1193" t="str">
        <v>Informatique</v>
      </c>
      <c r="B1193" t="str">
        <v>IBM Certified Specialist Systems Storage DS8000 Technical Solutions</v>
      </c>
      <c r="C1193" t="str">
        <v>IBM</v>
      </c>
      <c r="D1193" t="str">
        <f>HYPERLINK("https://inventaire.cncp.gouv.fr/fiches/1015/","1015")</f>
        <v>1015</v>
      </c>
      <c r="E1193" t="str">
        <f>HYPERLINK("http://www.intercariforef.org/formations/certification-85012.html","85012")</f>
        <v>85012</v>
      </c>
      <c r="F1193" s="1">
        <v>42184</v>
      </c>
      <c r="G1193" s="1">
        <v>42718</v>
      </c>
    </row>
    <row r="1194">
      <c r="A1194" t="str">
        <v>Informatique</v>
      </c>
      <c r="B1194" t="str">
        <v>IBM Certified System Administrator - MQ</v>
      </c>
      <c r="C1194" t="str">
        <v>IBM</v>
      </c>
      <c r="D1194" t="str">
        <f>HYPERLINK("https://inventaire.cncp.gouv.fr/fiches/1576/","1576")</f>
        <v>1576</v>
      </c>
      <c r="E1194" t="str">
        <f>HYPERLINK("http://www.intercariforef.org/formations/certification-88373.html","88373")</f>
        <v>88373</v>
      </c>
      <c r="F1194" s="1">
        <v>42460</v>
      </c>
      <c r="G1194" s="1">
        <v>42718</v>
      </c>
    </row>
    <row r="1195">
      <c r="A1195" t="str">
        <v>Informatique</v>
      </c>
      <c r="B1195" t="str">
        <v>IBM Certified System Administrator - Notes and Domino</v>
      </c>
      <c r="C1195" t="str">
        <v>IBM</v>
      </c>
      <c r="D1195" t="str">
        <f>HYPERLINK("https://inventaire.cncp.gouv.fr/fiches/483/","483")</f>
        <v>483</v>
      </c>
      <c r="E1195" t="str">
        <f>HYPERLINK("http://www.intercariforef.org/formations/certification-84933.html","84933")</f>
        <v>84933</v>
      </c>
      <c r="F1195" s="1">
        <v>42178</v>
      </c>
      <c r="G1195" s="1">
        <v>42178</v>
      </c>
    </row>
    <row r="1196">
      <c r="A1196" t="str">
        <v>Informatique</v>
      </c>
      <c r="B1196" t="str">
        <v>IBM Certified System Administrator - WebSphere Message Broker</v>
      </c>
      <c r="C1196" t="str">
        <v>IBM</v>
      </c>
      <c r="D1196" t="str">
        <f>HYPERLINK("https://inventaire.cncp.gouv.fr/fiches/906/","906")</f>
        <v>906</v>
      </c>
      <c r="E1196" t="str">
        <f>HYPERLINK("http://www.intercariforef.org/formations/certification-85019.html","85019")</f>
        <v>85019</v>
      </c>
      <c r="F1196" s="1">
        <v>42184</v>
      </c>
      <c r="G1196" s="1">
        <v>42184</v>
      </c>
    </row>
    <row r="1197">
      <c r="A1197" t="str">
        <v>Informatique</v>
      </c>
      <c r="B1197" t="str">
        <v>IBM Certified System Administrator - WebSphere Portal</v>
      </c>
      <c r="C1197" t="str">
        <v>IBM</v>
      </c>
      <c r="D1197" t="str">
        <f>HYPERLINK("https://inventaire.cncp.gouv.fr/fiches/882/","882")</f>
        <v>882</v>
      </c>
      <c r="E1197" t="str">
        <f>HYPERLINK("http://www.intercariforef.org/formations/certification-84996.html","84996")</f>
        <v>84996</v>
      </c>
      <c r="F1197" s="1">
        <v>42184</v>
      </c>
      <c r="G1197" s="1">
        <v>42184</v>
      </c>
    </row>
    <row r="1198" ht="26.2" customHeight="1">
      <c r="A1198" t="str">
        <v>Informatique</v>
      </c>
      <c r="B1198" t="str">
        <v>IBM Certified Systems Expert - Virtualization Technical Support for AIX and Linux</v>
      </c>
      <c r="C1198" t="str">
        <v>CPNE des bureaux d'études techniques, cabinets d'ingénieurs conseils et sociétés de conseils, IBM</v>
      </c>
      <c r="D1198" t="str">
        <f>HYPERLINK("https://inventaire.cncp.gouv.fr/fiches/1072/","1072")</f>
        <v>1072</v>
      </c>
      <c r="E1198" t="str">
        <f>HYPERLINK("http://www.intercariforef.org/formations/certification-85617.html","85617")</f>
        <v>85617</v>
      </c>
      <c r="F1198" s="1">
        <v>42269</v>
      </c>
      <c r="G1198" s="1">
        <v>42269</v>
      </c>
    </row>
    <row r="1199">
      <c r="A1199" t="str">
        <v>Informatique</v>
      </c>
      <c r="B1199" t="str">
        <v>Implémenter la cybersécurité en entreprise</v>
      </c>
      <c r="C1199" t="str">
        <v>FITEC</v>
      </c>
      <c r="D1199" t="str">
        <f>HYPERLINK("https://inventaire.cncp.gouv.fr/fiches/3068/","3068")</f>
        <v>3068</v>
      </c>
      <c r="E1199" t="str">
        <f>HYPERLINK("http://www.intercariforef.org/formations/certification-98491.html","98491")</f>
        <v>98491</v>
      </c>
      <c r="F1199" s="1">
        <v>43032</v>
      </c>
      <c r="G1199" s="1">
        <v>43032</v>
      </c>
    </row>
    <row r="1200">
      <c r="A1200" t="str">
        <v>Informatique</v>
      </c>
      <c r="B1200" t="str">
        <v>Implémenter un progiciel de gestion intégré</v>
      </c>
      <c r="C1200" t="str">
        <v>FITEC</v>
      </c>
      <c r="D1200" t="str">
        <f>HYPERLINK("https://inventaire.cncp.gouv.fr/fiches/3196/","3196")</f>
        <v>3196</v>
      </c>
      <c r="E1200" t="str">
        <f>HYPERLINK("http://www.intercariforef.org/formations/certification-100183.html","100183")</f>
        <v>100183</v>
      </c>
      <c r="F1200" s="1">
        <v>43154</v>
      </c>
      <c r="G1200" s="1">
        <v>43154</v>
      </c>
    </row>
    <row r="1201">
      <c r="A1201" t="str">
        <v>Informatique</v>
      </c>
      <c r="B1201" t="str">
        <v>Indexation 360°</v>
      </c>
      <c r="C1201" t="str">
        <v>Institut national de l'audiovisuel (INA)</v>
      </c>
      <c r="D1201" t="str">
        <f>HYPERLINK("https://inventaire.cncp.gouv.fr/fiches/2442/","2442")</f>
        <v>2442</v>
      </c>
      <c r="E1201" t="str">
        <f>HYPERLINK("http://www.intercariforef.org/formations/certification-93817.html","93817")</f>
        <v>93817</v>
      </c>
      <c r="F1201" s="1">
        <v>42740</v>
      </c>
      <c r="G1201" s="1">
        <v>42740</v>
      </c>
    </row>
    <row r="1202">
      <c r="A1202" t="str">
        <v>Informatique</v>
      </c>
      <c r="B1202" t="str">
        <v>Infographiste 3D « setup/rigging »</v>
      </c>
      <c r="C1202" t="str">
        <v>Gobelins - Ecole de l'image</v>
      </c>
      <c r="D1202" t="str">
        <f>HYPERLINK("https://inventaire.cncp.gouv.fr/fiches/3014/","3014")</f>
        <v>3014</v>
      </c>
      <c r="E1202" t="str">
        <f>HYPERLINK("http://www.intercariforef.org/formations/certification-96499.html","96499")</f>
        <v>96499</v>
      </c>
      <c r="F1202" s="1">
        <v>42928</v>
      </c>
      <c r="G1202" s="1">
        <v>42928</v>
      </c>
    </row>
    <row r="1203">
      <c r="A1203" t="str">
        <v>Informatique</v>
      </c>
      <c r="B1203" t="str">
        <v>Infrastructure DevOps</v>
      </c>
      <c r="C1203" t="str">
        <v>M2I Formation</v>
      </c>
      <c r="D1203" t="str">
        <f>HYPERLINK("https://inventaire.cncp.gouv.fr/fiches/3914/","3914")</f>
        <v>3914</v>
      </c>
      <c r="E1203" t="str">
        <f>HYPERLINK("http://www.intercariforef.org/formations/certification-104119.html","104119")</f>
        <v>104119</v>
      </c>
      <c r="F1203" s="1">
        <v>43398</v>
      </c>
      <c r="G1203" s="1">
        <v>43398</v>
      </c>
    </row>
    <row r="1204">
      <c r="A1204" t="str">
        <v>Informatique</v>
      </c>
      <c r="B1204" t="str">
        <v>Intégration cybersécurité</v>
      </c>
      <c r="C1204" t="str">
        <v>Institut supérieur d'électronique de Paris (ISEP)</v>
      </c>
      <c r="D1204" t="str">
        <f>HYPERLINK("https://inventaire.cncp.gouv.fr/fiches/3116/","3116")</f>
        <v>3116</v>
      </c>
      <c r="E1204" t="str">
        <f>HYPERLINK("http://www.intercariforef.org/formations/certification-98495.html","98495")</f>
        <v>98495</v>
      </c>
      <c r="F1204" s="1">
        <v>43032</v>
      </c>
      <c r="G1204" s="1">
        <v>43032</v>
      </c>
    </row>
    <row r="1205">
      <c r="A1205" t="str">
        <v>Informatique</v>
      </c>
      <c r="B1205" t="str">
        <v>Intégration Web - CMS</v>
      </c>
      <c r="C1205" t="str">
        <v>CEGEFOS</v>
      </c>
      <c r="D1205" t="str">
        <f>HYPERLINK("https://inventaire.cncp.gouv.fr/fiches/2227/","2227")</f>
        <v>2227</v>
      </c>
      <c r="E1205" t="str">
        <f>HYPERLINK("http://www.intercariforef.org/formations/certification-92149.html","92149")</f>
        <v>92149</v>
      </c>
      <c r="F1205" s="1">
        <v>42667</v>
      </c>
      <c r="G1205" s="1">
        <v>42718</v>
      </c>
    </row>
    <row r="1206">
      <c r="A1206" t="str">
        <v>Informatique</v>
      </c>
      <c r="B1206" t="str">
        <v>Intégrer le digital dans sa stratégie de communication et marketing (CP FFP)</v>
      </c>
      <c r="C1206" t="str">
        <v>Media institute</v>
      </c>
      <c r="D1206" t="str">
        <f>HYPERLINK("https://inventaire.cncp.gouv.fr/fiches/2448/","2448")</f>
        <v>2448</v>
      </c>
      <c r="E1206" t="str">
        <f>HYPERLINK("http://www.intercariforef.org/formations/certification-95665.html","95665")</f>
        <v>95665</v>
      </c>
      <c r="F1206" s="1">
        <v>42894</v>
      </c>
      <c r="G1206" s="1">
        <v>42894</v>
      </c>
    </row>
    <row r="1207">
      <c r="A1207" t="str">
        <v>Informatique</v>
      </c>
      <c r="B1207" t="str">
        <v>Introduction à Qt QML</v>
      </c>
      <c r="C1207" t="str">
        <v>KDAB France</v>
      </c>
      <c r="D1207" t="str">
        <f>HYPERLINK("https://inventaire.cncp.gouv.fr/fiches/3442/","3442")</f>
        <v>3442</v>
      </c>
      <c r="E1207" t="str">
        <f>HYPERLINK("http://www.intercariforef.org/formations/certification-104013.html","104013")</f>
        <v>104013</v>
      </c>
      <c r="F1207" s="1">
        <v>43392</v>
      </c>
      <c r="G1207" s="1">
        <v>43392</v>
      </c>
    </row>
    <row r="1208">
      <c r="A1208" t="str">
        <v>Informatique</v>
      </c>
      <c r="B1208" t="str">
        <v>ISILOG WEB SYSTEM - IWS Niveau 1</v>
      </c>
      <c r="C1208" t="str">
        <v>ISILOG</v>
      </c>
      <c r="D1208" t="str">
        <f>HYPERLINK("https://inventaire.cncp.gouv.fr/fiches/3190/","3190")</f>
        <v>3190</v>
      </c>
      <c r="E1208" t="str">
        <f>HYPERLINK("http://www.intercariforef.org/formations/certification-104055.html","104055")</f>
        <v>104055</v>
      </c>
      <c r="F1208" s="1">
        <v>43392</v>
      </c>
      <c r="G1208" s="1">
        <v>43392</v>
      </c>
    </row>
    <row r="1209">
      <c r="A1209" t="str">
        <v>Informatique</v>
      </c>
      <c r="B1209" t="str">
        <v>ISO 27001 Lead Auditor</v>
      </c>
      <c r="C1209" t="str">
        <v>La sécurité des technologies de l'information</v>
      </c>
      <c r="D1209" t="str">
        <f>HYPERLINK("https://inventaire.cncp.gouv.fr/fiches/1609/","1609")</f>
        <v>1609</v>
      </c>
      <c r="E1209" t="str">
        <f>HYPERLINK("http://www.intercariforef.org/formations/certification-89371.html","89371")</f>
        <v>89371</v>
      </c>
      <c r="F1209" s="1">
        <v>42527</v>
      </c>
      <c r="G1209" s="1">
        <v>42527</v>
      </c>
    </row>
    <row r="1210">
      <c r="A1210" t="str">
        <v>Informatique</v>
      </c>
      <c r="B1210" t="str">
        <v>ISO 27001 Lead Implementer</v>
      </c>
      <c r="C1210" t="str">
        <v>La sécurité des technologies de l'information</v>
      </c>
      <c r="D1210" t="str">
        <f>HYPERLINK("https://inventaire.cncp.gouv.fr/fiches/1817/","1817")</f>
        <v>1817</v>
      </c>
      <c r="E1210" t="str">
        <f>HYPERLINK("http://www.intercariforef.org/formations/certification-88661.html","88661")</f>
        <v>88661</v>
      </c>
      <c r="F1210" s="1">
        <v>42487</v>
      </c>
      <c r="G1210" s="1">
        <v>42487</v>
      </c>
    </row>
    <row r="1211">
      <c r="A1211" t="str">
        <v>Informatique</v>
      </c>
      <c r="B1211" t="str">
        <v>ISO 27005 Risk Manager</v>
      </c>
      <c r="C1211" t="str">
        <v>La sécurité des technologies de l'information</v>
      </c>
      <c r="D1211" t="str">
        <f>HYPERLINK("https://inventaire.cncp.gouv.fr/fiches/1815/","1815")</f>
        <v>1815</v>
      </c>
      <c r="E1211" t="str">
        <f>HYPERLINK("http://www.intercariforef.org/formations/certification-88659.html","88659")</f>
        <v>88659</v>
      </c>
      <c r="F1211" s="1">
        <v>42487</v>
      </c>
      <c r="G1211" s="1">
        <v>42487</v>
      </c>
    </row>
    <row r="1212">
      <c r="A1212" t="str">
        <v>Informatique</v>
      </c>
      <c r="B1212" t="str">
        <v>ITIL® Foundation Certificate in IT Service Management</v>
      </c>
      <c r="C1212" t="str">
        <v>AXELOS Limited</v>
      </c>
      <c r="D1212" t="str">
        <f>HYPERLINK("https://inventaire.cncp.gouv.fr/fiches/1003/","1003")</f>
        <v>1003</v>
      </c>
      <c r="E1212" t="str">
        <f>HYPERLINK("http://www.intercariforef.org/formations/certification-85053.html","85053")</f>
        <v>85053</v>
      </c>
      <c r="F1212" s="1">
        <v>42185</v>
      </c>
      <c r="G1212" s="1">
        <v>42718</v>
      </c>
    </row>
    <row r="1213">
      <c r="A1213" t="str">
        <v>Informatique</v>
      </c>
      <c r="B1213" t="str">
        <v>La gestion de code avec Git et GitHub (niveau 1)</v>
      </c>
      <c r="C1213" t="str">
        <v>OpenClassrooms</v>
      </c>
      <c r="D1213" t="str">
        <f>HYPERLINK("https://inventaire.cncp.gouv.fr/fiches/1499/","1499")</f>
        <v>1499</v>
      </c>
      <c r="E1213" t="str">
        <f>HYPERLINK("http://www.intercariforef.org/formations/certification-90053.html","90053")</f>
        <v>90053</v>
      </c>
      <c r="F1213" s="1">
        <v>42558</v>
      </c>
      <c r="G1213" s="1">
        <v>42718</v>
      </c>
    </row>
    <row r="1214">
      <c r="A1214" t="str">
        <v>Informatique</v>
      </c>
      <c r="B1214" t="str">
        <v>La programmation avec C (niveau 1)</v>
      </c>
      <c r="C1214" t="str">
        <v>OpenClassrooms</v>
      </c>
      <c r="D1214" t="str">
        <f>HYPERLINK("https://inventaire.cncp.gouv.fr/fiches/1500/","1500")</f>
        <v>1500</v>
      </c>
      <c r="E1214" t="str">
        <f>HYPERLINK("http://www.intercariforef.org/formations/certification-90055.html","90055")</f>
        <v>90055</v>
      </c>
      <c r="F1214" s="1">
        <v>42558</v>
      </c>
      <c r="G1214" s="1">
        <v>42718</v>
      </c>
    </row>
    <row r="1215">
      <c r="A1215" t="str">
        <v>Informatique</v>
      </c>
      <c r="B1215" t="str">
        <v>La programmation avec Java (niveau 1)</v>
      </c>
      <c r="C1215" t="str">
        <v>OpenClassrooms</v>
      </c>
      <c r="D1215" t="str">
        <f>HYPERLINK("https://inventaire.cncp.gouv.fr/fiches/1496/","1496")</f>
        <v>1496</v>
      </c>
      <c r="E1215" t="str">
        <f>HYPERLINK("http://www.intercariforef.org/formations/certification-93915.html","93915")</f>
        <v>93915</v>
      </c>
      <c r="F1215" s="1">
        <v>42744</v>
      </c>
      <c r="G1215" s="1">
        <v>42744</v>
      </c>
    </row>
    <row r="1216">
      <c r="A1216" t="str">
        <v>Informatique</v>
      </c>
      <c r="B1216" t="str">
        <v>La programmation avec Python (niveau 1)</v>
      </c>
      <c r="C1216" t="str">
        <v>OpenClassrooms</v>
      </c>
      <c r="D1216" t="str">
        <f>HYPERLINK("https://inventaire.cncp.gouv.fr/fiches/1495/","1495")</f>
        <v>1495</v>
      </c>
      <c r="E1216" t="str">
        <f>HYPERLINK("http://www.intercariforef.org/formations/certification-90049.html","90049")</f>
        <v>90049</v>
      </c>
      <c r="F1216" s="1">
        <v>42558</v>
      </c>
      <c r="G1216" s="1">
        <v>42718</v>
      </c>
    </row>
    <row r="1217">
      <c r="A1217" t="str">
        <v>Informatique</v>
      </c>
      <c r="B1217" t="str">
        <v>La programmation C++ (niveau 1)</v>
      </c>
      <c r="C1217" t="str">
        <v>OpenClassrooms</v>
      </c>
      <c r="D1217" t="str">
        <f>HYPERLINK("https://inventaire.cncp.gouv.fr/fiches/1485/","1485")</f>
        <v>1485</v>
      </c>
      <c r="E1217" t="str">
        <f>HYPERLINK("http://www.intercariforef.org/formations/certification-90033.html","90033")</f>
        <v>90033</v>
      </c>
      <c r="F1217" s="1">
        <v>42558</v>
      </c>
      <c r="G1217" s="1">
        <v>42718</v>
      </c>
    </row>
    <row r="1218">
      <c r="A1218" t="str">
        <v>Informatique</v>
      </c>
      <c r="B1218" t="str">
        <v>La programmation en orienté objet en PHP (niveau 2)</v>
      </c>
      <c r="C1218" t="str">
        <v>OpenClassrooms</v>
      </c>
      <c r="D1218" t="str">
        <f>HYPERLINK("https://inventaire.cncp.gouv.fr/fiches/1472/","1472")</f>
        <v>1472</v>
      </c>
      <c r="E1218" t="str">
        <f>HYPERLINK("http://www.intercariforef.org/formations/certification-90045.html","90045")</f>
        <v>90045</v>
      </c>
      <c r="F1218" s="1">
        <v>42558</v>
      </c>
      <c r="G1218" s="1">
        <v>42718</v>
      </c>
    </row>
    <row r="1219">
      <c r="A1219" t="str">
        <v>Informatique</v>
      </c>
      <c r="B1219" t="str">
        <v>Langages de Programmation</v>
      </c>
      <c r="C1219" t="str">
        <v>M2I Formation</v>
      </c>
      <c r="D1219" t="str">
        <f>HYPERLINK("https://inventaire.cncp.gouv.fr/fiches/2687/","2687")</f>
        <v>2687</v>
      </c>
      <c r="E1219" t="str">
        <f>HYPERLINK("http://www.intercariforef.org/formations/certification-94827.html","94827")</f>
        <v>94827</v>
      </c>
      <c r="F1219" s="1">
        <v>42836</v>
      </c>
      <c r="G1219" s="1">
        <v>42836</v>
      </c>
    </row>
    <row r="1220">
      <c r="A1220" t="str">
        <v>Informatique</v>
      </c>
      <c r="B1220" t="str">
        <v>L'architecture PHP professionnelle (niveau 2)</v>
      </c>
      <c r="C1220" t="str">
        <v>OpenClassrooms</v>
      </c>
      <c r="D1220" t="str">
        <f>HYPERLINK("https://inventaire.cncp.gouv.fr/fiches/1478/","1478")</f>
        <v>1478</v>
      </c>
      <c r="E1220" t="str">
        <f>HYPERLINK("http://www.intercariforef.org/formations/certification-91923.html","91923")</f>
        <v>91923</v>
      </c>
      <c r="F1220" s="1">
        <v>42662</v>
      </c>
      <c r="G1220" s="1">
        <v>42718</v>
      </c>
    </row>
    <row r="1221">
      <c r="A1221" t="str">
        <v>Informatique</v>
      </c>
      <c r="B1221" t="str">
        <v>Le développement avec Java EE (niveau 1)</v>
      </c>
      <c r="C1221" t="str">
        <v>OpenClassrooms</v>
      </c>
      <c r="D1221" t="str">
        <f>HYPERLINK("https://inventaire.cncp.gouv.fr/fiches/1486/","1486")</f>
        <v>1486</v>
      </c>
      <c r="E1221" t="str">
        <f>HYPERLINK("http://www.intercariforef.org/formations/certification-91917.html","91917")</f>
        <v>91917</v>
      </c>
      <c r="F1221" s="1">
        <v>42662</v>
      </c>
      <c r="G1221" s="1">
        <v>42662</v>
      </c>
    </row>
    <row r="1222">
      <c r="A1222" t="str">
        <v>Informatique</v>
      </c>
      <c r="B1222" t="str">
        <v>Le développement avec le framework Django (niveau 1)</v>
      </c>
      <c r="C1222" t="str">
        <v>OpenClassrooms</v>
      </c>
      <c r="D1222" t="str">
        <f>HYPERLINK("https://inventaire.cncp.gouv.fr/fiches/1474/","1474")</f>
        <v>1474</v>
      </c>
      <c r="E1222" t="str">
        <f>HYPERLINK("http://www.intercariforef.org/formations/certification-91929.html","91929")</f>
        <v>91929</v>
      </c>
      <c r="F1222" s="1">
        <v>42662</v>
      </c>
      <c r="G1222" s="1">
        <v>42718</v>
      </c>
    </row>
    <row r="1223">
      <c r="A1223" t="str">
        <v>Informatique</v>
      </c>
      <c r="B1223" t="str">
        <v>Le développement avec le framework Symfony 2 (niveau 2)</v>
      </c>
      <c r="C1223" t="str">
        <v>OpenClassrooms</v>
      </c>
      <c r="D1223" t="str">
        <f>HYPERLINK("https://inventaire.cncp.gouv.fr/fiches/1487/","1487")</f>
        <v>1487</v>
      </c>
      <c r="E1223" t="str">
        <f>HYPERLINK("http://www.intercariforef.org/formations/certification-90031.html","90031")</f>
        <v>90031</v>
      </c>
      <c r="F1223" s="1">
        <v>42558</v>
      </c>
      <c r="G1223" s="1">
        <v>42718</v>
      </c>
    </row>
    <row r="1224">
      <c r="A1224" t="str">
        <v>Informatique</v>
      </c>
      <c r="B1224" t="str">
        <v>Le développement avec PHP et MySQL (niveau 1)</v>
      </c>
      <c r="C1224" t="str">
        <v>OpenClassrooms</v>
      </c>
      <c r="D1224" t="str">
        <f>HYPERLINK("https://inventaire.cncp.gouv.fr/fiches/1493/","1493")</f>
        <v>1493</v>
      </c>
      <c r="E1224" t="str">
        <f>HYPERLINK("http://www.intercariforef.org/formations/certification-90029.html","90029")</f>
        <v>90029</v>
      </c>
      <c r="F1224" s="1">
        <v>42558</v>
      </c>
      <c r="G1224" s="1">
        <v>42718</v>
      </c>
    </row>
    <row r="1225">
      <c r="A1225" t="str">
        <v>Informatique</v>
      </c>
      <c r="B1225" t="str">
        <v>Le développement dans le cloud avec Google App Engine (niveau 2)</v>
      </c>
      <c r="C1225" t="str">
        <v>OpenClassrooms</v>
      </c>
      <c r="D1225" t="str">
        <f>HYPERLINK("https://inventaire.cncp.gouv.fr/fiches/1502/","1502")</f>
        <v>1502</v>
      </c>
      <c r="E1225" t="str">
        <f>HYPERLINK("http://www.intercariforef.org/formations/certification-94865.html","94865")</f>
        <v>94865</v>
      </c>
      <c r="F1225" s="1">
        <v>42836</v>
      </c>
      <c r="G1225" s="1">
        <v>43032</v>
      </c>
    </row>
    <row r="1226">
      <c r="A1226" t="str">
        <v>Informatique</v>
      </c>
      <c r="B1226" t="str">
        <v>Le développement dans le cloud avec IBM Bluemix (niveau 2)</v>
      </c>
      <c r="C1226" t="str">
        <v>OpenClassrooms</v>
      </c>
      <c r="D1226" t="str">
        <f>HYPERLINK("https://inventaire.cncp.gouv.fr/fiches/1520/","1520")</f>
        <v>1520</v>
      </c>
      <c r="E1226" t="str">
        <f>HYPERLINK("http://www.intercariforef.org/formations/certification-94861.html","94861")</f>
        <v>94861</v>
      </c>
      <c r="F1226" s="1">
        <v>42836</v>
      </c>
      <c r="G1226" s="1">
        <v>43032</v>
      </c>
    </row>
    <row r="1227">
      <c r="A1227" t="str">
        <v>Informatique</v>
      </c>
      <c r="B1227" t="str">
        <v>Le développement d'application avec Node.js (niveau 2)</v>
      </c>
      <c r="C1227" t="str">
        <v>OpenClassrooms</v>
      </c>
      <c r="D1227" t="str">
        <f>HYPERLINK("https://inventaire.cncp.gouv.fr/fiches/1473/","1473")</f>
        <v>1473</v>
      </c>
      <c r="E1227" t="str">
        <f>HYPERLINK("http://www.intercariforef.org/formations/certification-91931.html","91931")</f>
        <v>91931</v>
      </c>
      <c r="F1227" s="1">
        <v>42662</v>
      </c>
      <c r="G1227" s="1">
        <v>42662</v>
      </c>
    </row>
    <row r="1228">
      <c r="A1228" t="str">
        <v>Informatique</v>
      </c>
      <c r="B1228" t="str">
        <v>Le plateau de situation : être efficace devant la caméra</v>
      </c>
      <c r="C1228" t="str">
        <v>Institut national de l'audiovisuel (INA)</v>
      </c>
      <c r="D1228" t="str">
        <f>HYPERLINK("https://inventaire.cncp.gouv.fr/fiches/2781/","2781")</f>
        <v>2781</v>
      </c>
      <c r="E1228" t="str">
        <f>HYPERLINK("http://www.intercariforef.org/formations/certification-95639.html","95639")</f>
        <v>95639</v>
      </c>
      <c r="F1228" s="1">
        <v>42893</v>
      </c>
      <c r="G1228" s="1">
        <v>42893</v>
      </c>
    </row>
    <row r="1229">
      <c r="A1229" t="str">
        <v>Informatique</v>
      </c>
      <c r="B1229" t="str">
        <v>Le référencement web (niveau 1)</v>
      </c>
      <c r="C1229" t="str">
        <v>OpenClassrooms</v>
      </c>
      <c r="D1229" t="str">
        <f>HYPERLINK("https://inventaire.cncp.gouv.fr/fiches/1507/","1507")</f>
        <v>1507</v>
      </c>
      <c r="E1229" t="str">
        <f>HYPERLINK("http://www.intercariforef.org/formations/certification-91915.html","91915")</f>
        <v>91915</v>
      </c>
      <c r="F1229" s="1">
        <v>42662</v>
      </c>
      <c r="G1229" s="1">
        <v>42718</v>
      </c>
    </row>
    <row r="1230">
      <c r="A1230" t="str">
        <v>Informatique</v>
      </c>
      <c r="B1230" t="str">
        <v>Le réseau professionnel Linkedin</v>
      </c>
      <c r="C1230" t="str">
        <v>Ecole française du digital</v>
      </c>
      <c r="D1230" t="str">
        <f>HYPERLINK("https://inventaire.cncp.gouv.fr/fiches/3766/","3766")</f>
        <v>3766</v>
      </c>
      <c r="E1230" t="str">
        <f>HYPERLINK("http://www.intercariforef.org/formations/certification-103951.html","103951")</f>
        <v>103951</v>
      </c>
      <c r="F1230" s="1">
        <v>43390</v>
      </c>
      <c r="G1230" s="1">
        <v>43390</v>
      </c>
    </row>
    <row r="1231">
      <c r="A1231" t="str">
        <v>Informatique</v>
      </c>
      <c r="B1231" t="str">
        <v>Le système d'exploitation OS X (niveau 1)</v>
      </c>
      <c r="C1231" t="str">
        <v>OpenClassrooms</v>
      </c>
      <c r="D1231" t="str">
        <f>HYPERLINK("https://inventaire.cncp.gouv.fr/fiches/1479/","1479")</f>
        <v>1479</v>
      </c>
      <c r="E1231" t="str">
        <f>HYPERLINK("http://www.intercariforef.org/formations/certification-93875.html","93875")</f>
        <v>93875</v>
      </c>
      <c r="F1231" s="1">
        <v>42744</v>
      </c>
      <c r="G1231" s="1">
        <v>42744</v>
      </c>
    </row>
    <row r="1232">
      <c r="A1232" t="str">
        <v>Informatique</v>
      </c>
      <c r="B1232" t="str">
        <v>Les bases de ASP.net MVC (niveau 1)</v>
      </c>
      <c r="C1232" t="str">
        <v>OpenClassrooms</v>
      </c>
      <c r="D1232" t="str">
        <f>HYPERLINK("https://inventaire.cncp.gouv.fr/fiches/1490/","1490")</f>
        <v>1490</v>
      </c>
      <c r="E1232" t="str">
        <f>HYPERLINK("http://www.intercariforef.org/formations/certification-93981.html","93981")</f>
        <v>93981</v>
      </c>
      <c r="F1232" s="1">
        <v>42745</v>
      </c>
      <c r="G1232" s="1">
        <v>42745</v>
      </c>
    </row>
    <row r="1233">
      <c r="A1233" t="str">
        <v>Informatique</v>
      </c>
      <c r="B1233" t="str">
        <v>Les bases de Bootstrap (niveau 1)</v>
      </c>
      <c r="C1233" t="str">
        <v>OpenClassrooms</v>
      </c>
      <c r="D1233" t="str">
        <f>HYPERLINK("https://inventaire.cncp.gouv.fr/fiches/1484/","1484")</f>
        <v>1484</v>
      </c>
      <c r="E1233" t="str">
        <f>HYPERLINK("http://www.intercariforef.org/formations/certification-90037.html","90037")</f>
        <v>90037</v>
      </c>
      <c r="F1233" s="1">
        <v>42558</v>
      </c>
      <c r="G1233" s="1">
        <v>42718</v>
      </c>
    </row>
    <row r="1234">
      <c r="A1234" t="str">
        <v>Informatique</v>
      </c>
      <c r="B1234" t="str">
        <v>Les bases de Linux (niveau 1)</v>
      </c>
      <c r="C1234" t="str">
        <v>OpenClassrooms</v>
      </c>
      <c r="D1234" t="str">
        <f>HYPERLINK("https://inventaire.cncp.gouv.fr/fiches/1519/","1519")</f>
        <v>1519</v>
      </c>
      <c r="E1234" t="str">
        <f>HYPERLINK("http://www.intercariforef.org/formations/certification-86355.html","86355")</f>
        <v>86355</v>
      </c>
      <c r="F1234" s="1">
        <v>42340</v>
      </c>
      <c r="G1234" s="1">
        <v>42718</v>
      </c>
    </row>
    <row r="1235">
      <c r="A1235" t="str">
        <v>Informatique</v>
      </c>
      <c r="B1235" t="str">
        <v>Les bases des réseaux TCP/IP (niveau 1)</v>
      </c>
      <c r="C1235" t="str">
        <v>OpenClassrooms</v>
      </c>
      <c r="D1235" t="str">
        <f>HYPERLINK("https://inventaire.cncp.gouv.fr/fiches/1469/","1469")</f>
        <v>1469</v>
      </c>
      <c r="E1235" t="str">
        <f>HYPERLINK("http://www.intercariforef.org/formations/certification-91935.html","91935")</f>
        <v>91935</v>
      </c>
      <c r="F1235" s="1">
        <v>42662</v>
      </c>
      <c r="G1235" s="1">
        <v>42718</v>
      </c>
    </row>
    <row r="1236">
      <c r="A1236" t="str">
        <v>Informatique</v>
      </c>
      <c r="B1236" t="str">
        <v>Les bases d'HTML5 et CSS3 (niveau 1)</v>
      </c>
      <c r="C1236" t="str">
        <v>OpenClassrooms</v>
      </c>
      <c r="D1236" t="str">
        <f>HYPERLINK("https://inventaire.cncp.gouv.fr/fiches/1482/","1482")</f>
        <v>1482</v>
      </c>
      <c r="E1236" t="str">
        <f>HYPERLINK("http://www.intercariforef.org/formations/certification-90047.html","90047")</f>
        <v>90047</v>
      </c>
      <c r="F1236" s="1">
        <v>42558</v>
      </c>
      <c r="G1236" s="1">
        <v>42718</v>
      </c>
    </row>
    <row r="1237">
      <c r="A1237" t="str">
        <v>Informatique</v>
      </c>
      <c r="B1237" t="str">
        <v>Les bases du community management (niveau 1)</v>
      </c>
      <c r="C1237" t="str">
        <v>OpenClassrooms</v>
      </c>
      <c r="D1237" t="str">
        <f>HYPERLINK("https://inventaire.cncp.gouv.fr/fiches/1483/","1483")</f>
        <v>1483</v>
      </c>
      <c r="E1237" t="str">
        <f>HYPERLINK("http://www.intercariforef.org/formations/certification-91919.html","91919")</f>
        <v>91919</v>
      </c>
      <c r="F1237" s="1">
        <v>42662</v>
      </c>
      <c r="G1237" s="1">
        <v>42718</v>
      </c>
    </row>
    <row r="1238">
      <c r="A1238" t="str">
        <v>Informatique</v>
      </c>
      <c r="B1238" t="str">
        <v>Les bases du framework PHP Laravel (niveau 1)</v>
      </c>
      <c r="C1238" t="str">
        <v>OpenClassrooms</v>
      </c>
      <c r="D1238" t="str">
        <f>HYPERLINK("https://inventaire.cncp.gouv.fr/fiches/1477/","1477")</f>
        <v>1477</v>
      </c>
      <c r="E1238" t="str">
        <f>HYPERLINK("http://www.intercariforef.org/formations/certification-91925.html","91925")</f>
        <v>91925</v>
      </c>
      <c r="F1238" s="1">
        <v>42662</v>
      </c>
      <c r="G1238" s="1">
        <v>42718</v>
      </c>
    </row>
    <row r="1239">
      <c r="A1239" t="str">
        <v>Informatique</v>
      </c>
      <c r="B1239" t="str">
        <v>Les campagnes d'emailing avec MailChimp (niveau 1)</v>
      </c>
      <c r="C1239" t="str">
        <v>OpenClassrooms</v>
      </c>
      <c r="D1239" t="str">
        <f>HYPERLINK("https://inventaire.cncp.gouv.fr/fiches/1489/","1489")</f>
        <v>1489</v>
      </c>
      <c r="E1239" t="str">
        <f>HYPERLINK("http://www.intercariforef.org/formations/certification-93913.html","93913")</f>
        <v>93913</v>
      </c>
      <c r="F1239" s="1">
        <v>42744</v>
      </c>
      <c r="G1239" s="1">
        <v>42744</v>
      </c>
    </row>
    <row r="1240">
      <c r="A1240" t="str">
        <v>Informatique</v>
      </c>
      <c r="B1240" t="str">
        <v>Les données avec MySQL (niveau 2)</v>
      </c>
      <c r="C1240" t="str">
        <v>OpenClassrooms</v>
      </c>
      <c r="D1240" t="str">
        <f>HYPERLINK("https://inventaire.cncp.gouv.fr/fiches/1471/","1471")</f>
        <v>1471</v>
      </c>
      <c r="E1240" t="str">
        <f>HYPERLINK("http://www.intercariforef.org/formations/certification-90051.html","90051")</f>
        <v>90051</v>
      </c>
      <c r="F1240" s="1">
        <v>42558</v>
      </c>
      <c r="G1240" s="1">
        <v>42718</v>
      </c>
    </row>
    <row r="1241">
      <c r="A1241" t="str">
        <v>Informatique</v>
      </c>
      <c r="B1241" t="str">
        <v>Les données avec XML (niveau 1)</v>
      </c>
      <c r="C1241" t="str">
        <v>OpenClassrooms</v>
      </c>
      <c r="D1241" t="str">
        <f>HYPERLINK("https://inventaire.cncp.gouv.fr/fiches/1480/","1480")</f>
        <v>1480</v>
      </c>
      <c r="E1241" t="str">
        <f>HYPERLINK("http://www.intercariforef.org/formations/certification-91921.html","91921")</f>
        <v>91921</v>
      </c>
      <c r="F1241" s="1">
        <v>42662</v>
      </c>
      <c r="G1241" s="1">
        <v>42718</v>
      </c>
    </row>
    <row r="1242">
      <c r="A1242" t="str">
        <v>Informatique</v>
      </c>
      <c r="B1242" t="str">
        <v>Les fondamentaux de la communication écrite</v>
      </c>
      <c r="C1242" t="str">
        <v>Sténotype Grandjean</v>
      </c>
      <c r="D1242" t="str">
        <f>HYPERLINK("https://inventaire.cncp.gouv.fr/fiches/3432/","3432")</f>
        <v>3432</v>
      </c>
      <c r="E1242" t="str">
        <f>HYPERLINK("http://www.intercariforef.org/formations/certification-100615.html","100615")</f>
        <v>100615</v>
      </c>
      <c r="F1242" s="1">
        <v>43193</v>
      </c>
      <c r="G1242" s="1">
        <v>43193</v>
      </c>
    </row>
    <row r="1243">
      <c r="A1243" t="str">
        <v>Informatique</v>
      </c>
      <c r="B1243" t="str">
        <v>Les nouveautés du C++11 / C++14 / C++17</v>
      </c>
      <c r="C1243" t="str">
        <v>KDAB France</v>
      </c>
      <c r="D1243" t="str">
        <f>HYPERLINK("https://inventaire.cncp.gouv.fr/fiches/2615/","2615")</f>
        <v>2615</v>
      </c>
      <c r="E1243" t="str">
        <f>HYPERLINK("http://www.intercariforef.org/formations/certification-95457.html","95457")</f>
        <v>95457</v>
      </c>
      <c r="F1243" s="1">
        <v>42884</v>
      </c>
      <c r="G1243" s="1">
        <v>43087</v>
      </c>
    </row>
    <row r="1244">
      <c r="A1244" t="str">
        <v>Informatique</v>
      </c>
      <c r="B1244" t="str">
        <v>Maîtrise de la dactylographie</v>
      </c>
      <c r="C1244" t="str">
        <v>Sténotype Grandjean</v>
      </c>
      <c r="D1244" t="str">
        <f>HYPERLINK("https://inventaire.cncp.gouv.fr/fiches/3431/","3431")</f>
        <v>3431</v>
      </c>
      <c r="E1244" t="str">
        <f>HYPERLINK("http://www.intercariforef.org/formations/certification-100685.html","100685")</f>
        <v>100685</v>
      </c>
      <c r="F1244" s="1">
        <v>43195</v>
      </c>
      <c r="G1244" s="1">
        <v>43195</v>
      </c>
    </row>
    <row r="1245">
      <c r="A1245" t="str">
        <v>Informatique</v>
      </c>
      <c r="B1245" t="str">
        <v>Maîtrise de la qualité en projet Web</v>
      </c>
      <c r="C1245" t="str">
        <v>Opquast</v>
      </c>
      <c r="D1245" t="str">
        <f>HYPERLINK("https://inventaire.cncp.gouv.fr/fiches/2363/","2363")</f>
        <v>2363</v>
      </c>
      <c r="E1245" t="str">
        <f>HYPERLINK("http://www.intercariforef.org/formations/certification-94965.html","94965")</f>
        <v>94965</v>
      </c>
      <c r="F1245" s="1">
        <v>42838</v>
      </c>
      <c r="G1245" s="1">
        <v>42838</v>
      </c>
    </row>
    <row r="1246">
      <c r="A1246" t="str">
        <v>Informatique</v>
      </c>
      <c r="B1246" t="str">
        <v>Maîtrise des techniques de modélisation, rendu et animation 3D</v>
      </c>
      <c r="C1246" t="str">
        <v>Formalisa</v>
      </c>
      <c r="D1246" t="str">
        <f>HYPERLINK("https://inventaire.cncp.gouv.fr/fiches/1899/","1899")</f>
        <v>1899</v>
      </c>
      <c r="E1246" t="str">
        <f>HYPERLINK("http://www.intercariforef.org/formations/certification-98377.html","98377")</f>
        <v>98377</v>
      </c>
      <c r="F1246" s="1">
        <v>43027</v>
      </c>
      <c r="G1246" s="1">
        <v>43027</v>
      </c>
    </row>
    <row r="1247">
      <c r="A1247" t="str">
        <v>Informatique</v>
      </c>
      <c r="B1247" t="str">
        <v>Marketing et communication digitale</v>
      </c>
      <c r="C1247" t="str">
        <v>CLEF SAS - CP Formation</v>
      </c>
      <c r="D1247" t="str">
        <f>HYPERLINK("https://inventaire.cncp.gouv.fr/fiches/3341/","3341")</f>
        <v>3341</v>
      </c>
      <c r="E1247" t="str">
        <f>HYPERLINK("http://www.intercariforef.org/formations/certification-100163.html","100163")</f>
        <v>100163</v>
      </c>
      <c r="F1247" s="1">
        <v>43154</v>
      </c>
      <c r="G1247" s="1">
        <v>43154</v>
      </c>
    </row>
    <row r="1248">
      <c r="A1248" t="str">
        <v>Informatique</v>
      </c>
      <c r="B1248" t="str">
        <v>Max niveau 1</v>
      </c>
      <c r="C1248" t="str">
        <v>Institut de recherche et coordination acoustique musique</v>
      </c>
      <c r="D1248" t="str">
        <f>HYPERLINK("https://inventaire.cncp.gouv.fr/fiches/2404/","2404")</f>
        <v>2404</v>
      </c>
      <c r="E1248" t="str">
        <f>HYPERLINK("http://www.intercariforef.org/formations/certification-92069.html","92069")</f>
        <v>92069</v>
      </c>
      <c r="F1248" s="1">
        <v>42667</v>
      </c>
      <c r="G1248" s="1">
        <v>42718</v>
      </c>
    </row>
    <row r="1249">
      <c r="A1249" t="str">
        <v>Informatique</v>
      </c>
      <c r="B1249" t="str">
        <v>Méthodes agiles de gestion et amorçage de projet</v>
      </c>
      <c r="C1249" t="str">
        <v>Simplon.co</v>
      </c>
      <c r="D1249" t="str">
        <f>HYPERLINK("https://inventaire.cncp.gouv.fr/fiches/2085/","2085")</f>
        <v>2085</v>
      </c>
      <c r="E1249" t="str">
        <f>HYPERLINK("http://www.intercariforef.org/formations/certification-90013.html","90013")</f>
        <v>90013</v>
      </c>
      <c r="F1249" s="1">
        <v>42558</v>
      </c>
      <c r="G1249" s="1">
        <v>42718</v>
      </c>
    </row>
    <row r="1250">
      <c r="A1250" t="str">
        <v>Informatique</v>
      </c>
      <c r="B1250" t="str">
        <v>Microsoft Access (certification officielle éditeur)</v>
      </c>
      <c r="C1250" t="str">
        <v>Microsoft</v>
      </c>
      <c r="D1250" t="str">
        <f>HYPERLINK("https://inventaire.cncp.gouv.fr/fiches/1270/","1270")</f>
        <v>1270</v>
      </c>
      <c r="E1250" t="str">
        <f>HYPERLINK("http://www.intercariforef.org/formations/certification-86365.html","86365")</f>
        <v>86365</v>
      </c>
      <c r="F1250" s="1">
        <v>42340</v>
      </c>
      <c r="G1250" s="1">
        <v>42718</v>
      </c>
    </row>
    <row r="1251">
      <c r="A1251" t="str">
        <v>Informatique</v>
      </c>
      <c r="B1251" t="str">
        <v>Microsoft Excel (certification officielle éditeur)</v>
      </c>
      <c r="C1251" t="str">
        <v>Microsoft</v>
      </c>
      <c r="D1251" t="str">
        <f>HYPERLINK("https://inventaire.cncp.gouv.fr/fiches/1266/","1266")</f>
        <v>1266</v>
      </c>
      <c r="E1251" t="str">
        <f>HYPERLINK("http://www.intercariforef.org/formations/certification-86363.html","86363")</f>
        <v>86363</v>
      </c>
      <c r="F1251" s="1">
        <v>42340</v>
      </c>
      <c r="G1251" s="1">
        <v>42718</v>
      </c>
    </row>
    <row r="1252">
      <c r="A1252" t="str">
        <v>Informatique</v>
      </c>
      <c r="B1252" t="str">
        <v>Microsoft Office Specialist (MOS)</v>
      </c>
      <c r="C1252" t="str">
        <v>Microsoft</v>
      </c>
      <c r="D1252" t="str">
        <f>HYPERLINK("https://inventaire.cncp.gouv.fr/fiches/555/","555")</f>
        <v>555</v>
      </c>
      <c r="E1252" t="str">
        <f>HYPERLINK("http://www.intercariforef.org/formations/certification-84885.html","84885")</f>
        <v>84885</v>
      </c>
      <c r="F1252" s="1">
        <v>42177</v>
      </c>
      <c r="G1252" s="1">
        <v>42177</v>
      </c>
    </row>
    <row r="1253">
      <c r="A1253" t="str">
        <v>Informatique</v>
      </c>
      <c r="B1253" t="str">
        <v>Microsoft OneNote (certification officielle éditeur)</v>
      </c>
      <c r="C1253" t="str">
        <v>Microsoft</v>
      </c>
      <c r="D1253" t="str">
        <f>HYPERLINK("https://inventaire.cncp.gouv.fr/fiches/1272/","1272")</f>
        <v>1272</v>
      </c>
      <c r="E1253" t="str">
        <f>HYPERLINK("http://www.intercariforef.org/formations/certification-86360.html","86360")</f>
        <v>86360</v>
      </c>
      <c r="F1253" s="1">
        <v>42340</v>
      </c>
      <c r="G1253" s="1">
        <v>42718</v>
      </c>
    </row>
    <row r="1254">
      <c r="A1254" t="str">
        <v>Informatique</v>
      </c>
      <c r="B1254" t="str">
        <v>Microsoft Outlook (certification officielle éditeur)</v>
      </c>
      <c r="C1254" t="str">
        <v>Microsoft</v>
      </c>
      <c r="D1254" t="str">
        <f>HYPERLINK("https://inventaire.cncp.gouv.fr/fiches/1269/","1269")</f>
        <v>1269</v>
      </c>
      <c r="E1254" t="str">
        <f>HYPERLINK("http://www.intercariforef.org/formations/certification-86364.html","86364")</f>
        <v>86364</v>
      </c>
      <c r="F1254" s="1">
        <v>42340</v>
      </c>
      <c r="G1254" s="1">
        <v>42718</v>
      </c>
    </row>
    <row r="1255">
      <c r="A1255" t="str">
        <v>Informatique</v>
      </c>
      <c r="B1255" t="str">
        <v>Microsoft PowerPoint (certification officielle éditeur)</v>
      </c>
      <c r="C1255" t="str">
        <v>Microsoft</v>
      </c>
      <c r="D1255" t="str">
        <f>HYPERLINK("https://inventaire.cncp.gouv.fr/fiches/1267/","1267")</f>
        <v>1267</v>
      </c>
      <c r="E1255" t="str">
        <f>HYPERLINK("http://www.intercariforef.org/formations/certification-86366.html","86366")</f>
        <v>86366</v>
      </c>
      <c r="F1255" s="1">
        <v>42340</v>
      </c>
      <c r="G1255" s="1">
        <v>42718</v>
      </c>
    </row>
    <row r="1256">
      <c r="A1256" t="str">
        <v>Informatique</v>
      </c>
      <c r="B1256" t="str">
        <v>Microsoft SharePoint (certification officielle éditeur)</v>
      </c>
      <c r="C1256" t="str">
        <v>Microsoft</v>
      </c>
      <c r="D1256" t="str">
        <f>HYPERLINK("https://inventaire.cncp.gouv.fr/fiches/1271/","1271")</f>
        <v>1271</v>
      </c>
      <c r="E1256" t="str">
        <f>HYPERLINK("http://www.intercariforef.org/formations/certification-86359.html","86359")</f>
        <v>86359</v>
      </c>
      <c r="F1256" s="1">
        <v>42340</v>
      </c>
      <c r="G1256" s="1">
        <v>42718</v>
      </c>
    </row>
    <row r="1257">
      <c r="A1257" t="str">
        <v>Informatique</v>
      </c>
      <c r="B1257" t="str">
        <v>Microsoft Technology Associate (MTA)</v>
      </c>
      <c r="C1257" t="str">
        <v>Microsoft</v>
      </c>
      <c r="D1257" t="str">
        <f>HYPERLINK("https://inventaire.cncp.gouv.fr/fiches/999/","999")</f>
        <v>999</v>
      </c>
      <c r="E1257" t="str">
        <f>HYPERLINK("http://www.intercariforef.org/formations/certification-85021.html","85021")</f>
        <v>85021</v>
      </c>
      <c r="F1257" s="1">
        <v>42184</v>
      </c>
      <c r="G1257" s="1">
        <v>42184</v>
      </c>
    </row>
    <row r="1258">
      <c r="A1258" t="str">
        <v>Informatique</v>
      </c>
      <c r="B1258" t="str">
        <v>Microsoft Word (certification officielle éditeur)</v>
      </c>
      <c r="C1258" t="str">
        <v>Microsoft</v>
      </c>
      <c r="D1258" t="str">
        <f>HYPERLINK("https://inventaire.cncp.gouv.fr/fiches/1264/","1264")</f>
        <v>1264</v>
      </c>
      <c r="E1258" t="str">
        <f>HYPERLINK("http://www.intercariforef.org/formations/certification-86362.html","86362")</f>
        <v>86362</v>
      </c>
      <c r="F1258" s="1">
        <v>42340</v>
      </c>
      <c r="G1258" s="1">
        <v>42718</v>
      </c>
    </row>
    <row r="1259">
      <c r="A1259" t="str">
        <v>Informatique</v>
      </c>
      <c r="B1259" t="str">
        <v>Modéliser en 3D avec SketchUp</v>
      </c>
      <c r="C1259" t="str">
        <v>Adebeo</v>
      </c>
      <c r="D1259" t="str">
        <f>HYPERLINK("https://inventaire.cncp.gouv.fr/fiches/3644/","3644")</f>
        <v>3644</v>
      </c>
      <c r="E1259" t="str">
        <f>HYPERLINK("http://www.intercariforef.org/formations/certification-102501.html","102501")</f>
        <v>102501</v>
      </c>
      <c r="F1259" s="1">
        <v>43298</v>
      </c>
      <c r="G1259" s="1">
        <v>43298</v>
      </c>
    </row>
    <row r="1260">
      <c r="A1260" t="str">
        <v>Informatique</v>
      </c>
      <c r="B1260" t="str">
        <v>Montage audiovisuel sur Adobe Première</v>
      </c>
      <c r="C1260" t="str">
        <v>Créa image communication</v>
      </c>
      <c r="D1260" t="str">
        <f>HYPERLINK("https://inventaire.cncp.gouv.fr/fiches/1000/","1000")</f>
        <v>1000</v>
      </c>
      <c r="E1260" t="str">
        <f>HYPERLINK("http://www.intercariforef.org/formations/certification-85175.html","85175")</f>
        <v>85175</v>
      </c>
      <c r="F1260" s="1">
        <v>42201</v>
      </c>
      <c r="G1260" s="1">
        <v>42209</v>
      </c>
    </row>
    <row r="1261">
      <c r="A1261" t="str">
        <v>Informatique</v>
      </c>
      <c r="B1261" t="str">
        <v>Montage audiovisuel sur Final Cut Pro X</v>
      </c>
      <c r="C1261" t="str">
        <v>Créa image communication</v>
      </c>
      <c r="D1261" t="str">
        <f>HYPERLINK("https://inventaire.cncp.gouv.fr/fiches/1027/","1027")</f>
        <v>1027</v>
      </c>
      <c r="E1261" t="str">
        <f>HYPERLINK("http://www.intercariforef.org/formations/certification-85176.html","85176")</f>
        <v>85176</v>
      </c>
      <c r="F1261" s="1">
        <v>42201</v>
      </c>
      <c r="G1261" s="1">
        <v>42209</v>
      </c>
    </row>
    <row r="1262">
      <c r="A1262" t="str">
        <v>Informatique</v>
      </c>
      <c r="B1262" t="str">
        <v>Montage et effets spéciaux avec Adobe Première et After Effects</v>
      </c>
      <c r="C1262" t="str">
        <v>Créa image communication</v>
      </c>
      <c r="D1262" t="str">
        <f>HYPERLINK("https://inventaire.cncp.gouv.fr/fiches/1032/","1032")</f>
        <v>1032</v>
      </c>
      <c r="E1262" t="str">
        <f>HYPERLINK("http://www.intercariforef.org/formations/certification-85177.html","85177")</f>
        <v>85177</v>
      </c>
      <c r="F1262" s="1">
        <v>42201</v>
      </c>
      <c r="G1262" s="1">
        <v>42209</v>
      </c>
    </row>
    <row r="1263">
      <c r="A1263" t="str">
        <v>Informatique</v>
      </c>
      <c r="B1263" t="str">
        <v>Montage et effets spéciaux avec Final Cut Pro X et After Effects</v>
      </c>
      <c r="C1263" t="str">
        <v>Créa image communication</v>
      </c>
      <c r="D1263" t="str">
        <f>HYPERLINK("https://inventaire.cncp.gouv.fr/fiches/1029/","1029")</f>
        <v>1029</v>
      </c>
      <c r="E1263" t="str">
        <f>HYPERLINK("http://www.intercariforef.org/formations/certification-85178.html","85178")</f>
        <v>85178</v>
      </c>
      <c r="F1263" s="1">
        <v>42201</v>
      </c>
      <c r="G1263" s="1">
        <v>42209</v>
      </c>
    </row>
    <row r="1264">
      <c r="A1264" t="str">
        <v>Informatique</v>
      </c>
      <c r="B1264" t="str">
        <v>NetApp Certified Data Administrator (NCDA)</v>
      </c>
      <c r="C1264" t="str">
        <v>NetApp</v>
      </c>
      <c r="D1264" t="str">
        <f>HYPERLINK("https://inventaire.cncp.gouv.fr/fiches/2586/","2586")</f>
        <v>2586</v>
      </c>
      <c r="E1264" t="str">
        <f>HYPERLINK("http://www.intercariforef.org/formations/certification-104063.html","104063")</f>
        <v>104063</v>
      </c>
      <c r="F1264" s="1">
        <v>43395</v>
      </c>
      <c r="G1264" s="1">
        <v>43395</v>
      </c>
    </row>
    <row r="1265">
      <c r="A1265" t="str">
        <v>Informatique</v>
      </c>
      <c r="B1265" t="str">
        <v>Oracle Certified Associate, Java SE 8 Programmer</v>
      </c>
      <c r="C1265" t="str">
        <v>Oracle</v>
      </c>
      <c r="D1265" t="str">
        <f>HYPERLINK("https://inventaire.cncp.gouv.fr/fiches/865/","865")</f>
        <v>865</v>
      </c>
      <c r="E1265" t="str">
        <f>HYPERLINK("http://www.intercariforef.org/formations/certification-88579.html","88579")</f>
        <v>88579</v>
      </c>
      <c r="F1265" s="1">
        <v>42481</v>
      </c>
      <c r="G1265" s="1">
        <v>42718</v>
      </c>
    </row>
    <row r="1266">
      <c r="A1266" t="str">
        <v>Informatique</v>
      </c>
      <c r="B1266" t="str">
        <v>Oracle Certified Associate, Oracle WebLogic Server 12c Administrator</v>
      </c>
      <c r="C1266" t="str">
        <v>Oracle</v>
      </c>
      <c r="D1266" t="str">
        <f>HYPERLINK("https://inventaire.cncp.gouv.fr/fiches/656/","656")</f>
        <v>656</v>
      </c>
      <c r="E1266" t="str">
        <f>HYPERLINK("http://www.intercariforef.org/formations/certification-88583.html","88583")</f>
        <v>88583</v>
      </c>
      <c r="F1266" s="1">
        <v>42481</v>
      </c>
      <c r="G1266" s="1">
        <v>42481</v>
      </c>
    </row>
    <row r="1267">
      <c r="A1267" t="str">
        <v>Informatique</v>
      </c>
      <c r="B1267" t="str">
        <v>Oracle Database 11g Administrator Certified Associate</v>
      </c>
      <c r="C1267" t="str">
        <v>Oracle</v>
      </c>
      <c r="D1267" t="str">
        <f>HYPERLINK("https://inventaire.cncp.gouv.fr/fiches/677/","677")</f>
        <v>677</v>
      </c>
      <c r="E1267" t="str">
        <f>HYPERLINK("http://www.intercariforef.org/formations/certification-88585.html","88585")</f>
        <v>88585</v>
      </c>
      <c r="F1267" s="1">
        <v>42481</v>
      </c>
      <c r="G1267" s="1">
        <v>42481</v>
      </c>
    </row>
    <row r="1268">
      <c r="A1268" t="str">
        <v>Informatique</v>
      </c>
      <c r="B1268" t="str">
        <v>Oracle Database 12c Administrator Certified Associate</v>
      </c>
      <c r="C1268" t="str">
        <v>Oracle</v>
      </c>
      <c r="D1268" t="str">
        <f>HYPERLINK("https://inventaire.cncp.gouv.fr/fiches/1727/","1727")</f>
        <v>1727</v>
      </c>
      <c r="E1268" t="str">
        <f>HYPERLINK("http://www.intercariforef.org/formations/certification-88581.html","88581")</f>
        <v>88581</v>
      </c>
      <c r="F1268" s="1">
        <v>42481</v>
      </c>
      <c r="G1268" s="1">
        <v>42481</v>
      </c>
    </row>
    <row r="1269">
      <c r="A1269" t="str">
        <v>Informatique</v>
      </c>
      <c r="B1269" t="str">
        <v>Oracle Database 12c Administrator Certified Professional</v>
      </c>
      <c r="C1269" t="str">
        <v>Oracle</v>
      </c>
      <c r="D1269" t="str">
        <f>HYPERLINK("https://inventaire.cncp.gouv.fr/fiches/700/","700")</f>
        <v>700</v>
      </c>
      <c r="E1269" t="str">
        <f>HYPERLINK("http://www.intercariforef.org/formations/certification-90253.html","90253")</f>
        <v>90253</v>
      </c>
      <c r="F1269" s="1">
        <v>42563</v>
      </c>
      <c r="G1269" s="1">
        <v>42563</v>
      </c>
    </row>
    <row r="1270">
      <c r="A1270" t="str">
        <v>Informatique</v>
      </c>
      <c r="B1270" t="str">
        <v>Oracle Database SQL Certified Associate</v>
      </c>
      <c r="C1270" t="str">
        <v>Oracle</v>
      </c>
      <c r="D1270" t="str">
        <f>HYPERLINK("https://inventaire.cncp.gouv.fr/fiches/706/","706")</f>
        <v>706</v>
      </c>
      <c r="E1270" t="str">
        <f>HYPERLINK("http://www.intercariforef.org/formations/certification-88577.html","88577")</f>
        <v>88577</v>
      </c>
      <c r="F1270" s="1">
        <v>42481</v>
      </c>
      <c r="G1270" s="1">
        <v>43087</v>
      </c>
    </row>
    <row r="1271">
      <c r="A1271" t="str">
        <v>Informatique</v>
      </c>
      <c r="B1271" t="str">
        <v>P_PAII10 - SAP Certified Application Professional - Predictive Analytics</v>
      </c>
      <c r="C1271" t="str">
        <v>SAP France</v>
      </c>
      <c r="D1271" t="str">
        <f>HYPERLINK("https://inventaire.cncp.gouv.fr/fiches/3305/","3305")</f>
        <v>3305</v>
      </c>
      <c r="E1271" t="str">
        <f>HYPERLINK("http://www.intercariforef.org/formations/certification-101193.html","101193")</f>
        <v>101193</v>
      </c>
      <c r="F1271" s="1">
        <v>43250</v>
      </c>
      <c r="G1271" s="1">
        <v>43250</v>
      </c>
    </row>
    <row r="1272" ht="26.2" customHeight="1">
      <c r="A1272" t="str">
        <v>Informatique</v>
      </c>
      <c r="B1272" t="str">
        <v>P_S4FIN - SAP Certified Application Professional - Financials in SAP S/4HANA for SAP ERP Finance Experts</v>
      </c>
      <c r="C1272" t="str">
        <v>SAP France</v>
      </c>
      <c r="D1272" t="str">
        <f>HYPERLINK("https://inventaire.cncp.gouv.fr/fiches/2499/","2499")</f>
        <v>2499</v>
      </c>
      <c r="E1272" t="str">
        <f>HYPERLINK("http://www.intercariforef.org/formations/certification-95459.html","95459")</f>
        <v>95459</v>
      </c>
      <c r="F1272" s="1">
        <v>42884</v>
      </c>
      <c r="G1272" s="1">
        <v>42884</v>
      </c>
    </row>
    <row r="1273">
      <c r="A1273" t="str">
        <v>Informatique</v>
      </c>
      <c r="B1273" t="str">
        <v>PCIE - Passeport de compétences informatique européen</v>
      </c>
      <c r="C1273" t="str">
        <v>Euro-Aptitudes</v>
      </c>
      <c r="D1273" t="str">
        <f>HYPERLINK("https://inventaire.cncp.gouv.fr/fiches/137/","137")</f>
        <v>137</v>
      </c>
      <c r="E1273" t="str">
        <f>HYPERLINK("http://www.intercariforef.org/formations/certification-84522.html","84522")</f>
        <v>84522</v>
      </c>
      <c r="F1273" s="1">
        <v>42114</v>
      </c>
      <c r="G1273" s="1">
        <v>43206</v>
      </c>
    </row>
    <row r="1274">
      <c r="A1274" t="str">
        <v>Informatique</v>
      </c>
      <c r="B1274" t="str">
        <v>Photoshop pour les maquettes de site responsive (niveau 1)</v>
      </c>
      <c r="C1274" t="str">
        <v>OpenClassrooms</v>
      </c>
      <c r="D1274" t="str">
        <f>HYPERLINK("https://inventaire.cncp.gouv.fr/fiches/1470/","1470")</f>
        <v>1470</v>
      </c>
      <c r="E1274" t="str">
        <f>HYPERLINK("http://www.intercariforef.org/formations/certification-91933.html","91933")</f>
        <v>91933</v>
      </c>
      <c r="F1274" s="1">
        <v>42662</v>
      </c>
      <c r="G1274" s="1">
        <v>42718</v>
      </c>
    </row>
    <row r="1275">
      <c r="A1275" t="str">
        <v>Informatique</v>
      </c>
      <c r="B1275" t="str">
        <v>Pilotage de la communication globale de l'entreprise</v>
      </c>
      <c r="C1275" t="str">
        <v>Cegos</v>
      </c>
      <c r="D1275" t="str">
        <f>HYPERLINK("https://inventaire.cncp.gouv.fr/fiches/3613/","3613")</f>
        <v>3613</v>
      </c>
      <c r="E1275" t="str">
        <f>HYPERLINK("http://www.intercariforef.org/formations/certification-102547.html","102547")</f>
        <v>102547</v>
      </c>
      <c r="F1275" s="1">
        <v>43298</v>
      </c>
      <c r="G1275" s="1">
        <v>43298</v>
      </c>
    </row>
    <row r="1276">
      <c r="A1276" t="str">
        <v>Informatique</v>
      </c>
      <c r="B1276" t="str">
        <v>Piloter une démarche de cybersécurité</v>
      </c>
      <c r="C1276" t="str">
        <v>Ecole polytechnique</v>
      </c>
      <c r="D1276" t="str">
        <f>HYPERLINK("https://inventaire.cncp.gouv.fr/fiches/2341/","2341")</f>
        <v>2341</v>
      </c>
      <c r="E1276" t="str">
        <f>HYPERLINK("http://www.intercariforef.org/formations/certification-93887.html","93887")</f>
        <v>93887</v>
      </c>
      <c r="F1276" s="1">
        <v>42744</v>
      </c>
      <c r="G1276" s="1">
        <v>42979</v>
      </c>
    </row>
    <row r="1277">
      <c r="A1277" t="str">
        <v>Informatique</v>
      </c>
      <c r="B1277" t="str">
        <v>Piloter une équipe de développement agile (Scrum Master)</v>
      </c>
      <c r="C1277" t="str">
        <v>Ecole polytechnique</v>
      </c>
      <c r="D1277" t="str">
        <f>HYPERLINK("https://inventaire.cncp.gouv.fr/fiches/2345/","2345")</f>
        <v>2345</v>
      </c>
      <c r="E1277" t="str">
        <f>HYPERLINK("http://www.intercariforef.org/formations/certification-93883.html","93883")</f>
        <v>93883</v>
      </c>
      <c r="F1277" s="1">
        <v>42744</v>
      </c>
      <c r="G1277" s="1">
        <v>42979</v>
      </c>
    </row>
    <row r="1278">
      <c r="A1278" t="str">
        <v>Informatique</v>
      </c>
      <c r="B1278" t="str">
        <v>Pix</v>
      </c>
      <c r="C1278" t="str">
        <v>Pix</v>
      </c>
      <c r="D1278" t="str">
        <f>HYPERLINK("https://inventaire.cncp.gouv.fr/fiches/3807/","3807")</f>
        <v>3807</v>
      </c>
      <c r="E1278" t="str">
        <f>HYPERLINK("http://www.intercariforef.org/formations/certification-102169.html","102169")</f>
        <v>102169</v>
      </c>
      <c r="F1278" s="1">
        <v>43293</v>
      </c>
      <c r="G1278" s="1">
        <v>43293</v>
      </c>
    </row>
    <row r="1279">
      <c r="A1279" t="str">
        <v>Informatique</v>
      </c>
      <c r="B1279" t="str">
        <v>Pratique professionnelle de la recherche d'images</v>
      </c>
      <c r="C1279" t="str">
        <v>Institut national de l'audiovisuel (INA)</v>
      </c>
      <c r="D1279" t="str">
        <f>HYPERLINK("https://inventaire.cncp.gouv.fr/fiches/2443/","2443")</f>
        <v>2443</v>
      </c>
      <c r="E1279" t="str">
        <f>HYPERLINK("http://www.intercariforef.org/formations/certification-93831.html","93831")</f>
        <v>93831</v>
      </c>
      <c r="F1279" s="1">
        <v>42740</v>
      </c>
      <c r="G1279" s="1">
        <v>42740</v>
      </c>
    </row>
    <row r="1280">
      <c r="A1280" t="str">
        <v>Informatique</v>
      </c>
      <c r="B1280" t="str">
        <v>Pratiques du développement logiciel de qualité</v>
      </c>
      <c r="C1280" t="str">
        <v>OCTO Technology, OCTO Academy</v>
      </c>
      <c r="D1280" t="str">
        <f>HYPERLINK("https://inventaire.cncp.gouv.fr/fiches/2381/","2381")</f>
        <v>2381</v>
      </c>
      <c r="E1280" t="str">
        <f>HYPERLINK("http://www.intercariforef.org/formations/certification-93761.html","93761")</f>
        <v>93761</v>
      </c>
      <c r="F1280" s="1">
        <v>42725</v>
      </c>
      <c r="G1280" s="1">
        <v>42725</v>
      </c>
    </row>
    <row r="1281">
      <c r="A1281" t="str">
        <v>Informatique</v>
      </c>
      <c r="B1281" t="str">
        <v>Principes de base de la sécurité Internet (niveau 1)</v>
      </c>
      <c r="C1281" t="str">
        <v>OpenClassrooms</v>
      </c>
      <c r="D1281" t="str">
        <f>HYPERLINK("https://inventaire.cncp.gouv.fr/fiches/1488/","1488")</f>
        <v>1488</v>
      </c>
      <c r="E1281" t="str">
        <f>HYPERLINK("http://www.intercariforef.org/formations/certification-94847.html","94847")</f>
        <v>94847</v>
      </c>
      <c r="F1281" s="1">
        <v>42836</v>
      </c>
      <c r="G1281" s="1">
        <v>42836</v>
      </c>
    </row>
    <row r="1282">
      <c r="A1282" t="str">
        <v>Informatique</v>
      </c>
      <c r="B1282" t="str">
        <v>Promouvoir l'activité d'une entreprise sur Internet</v>
      </c>
      <c r="C1282" t="str">
        <v>Ecole française du digital</v>
      </c>
      <c r="D1282" t="str">
        <f>HYPERLINK("https://inventaire.cncp.gouv.fr/fiches/3581/","3581")</f>
        <v>3581</v>
      </c>
      <c r="E1282" t="str">
        <f>HYPERLINK("http://www.intercariforef.org/formations/certification-103959.html","103959")</f>
        <v>103959</v>
      </c>
      <c r="F1282" s="1">
        <v>43391</v>
      </c>
      <c r="G1282" s="1">
        <v>43391</v>
      </c>
    </row>
    <row r="1283">
      <c r="A1283" t="str">
        <v>Informatique</v>
      </c>
      <c r="B1283" t="str">
        <v>RADAN CFAO</v>
      </c>
      <c r="C1283" t="str">
        <v>Radan CFAO</v>
      </c>
      <c r="D1283" t="str">
        <f>HYPERLINK("https://inventaire.cncp.gouv.fr/fiches/2367/","2367")</f>
        <v>2367</v>
      </c>
      <c r="E1283" t="str">
        <f>HYPERLINK("http://www.intercariforef.org/formations/certification-92079.html","92079")</f>
        <v>92079</v>
      </c>
      <c r="F1283" s="1">
        <v>42667</v>
      </c>
      <c r="G1283" s="1">
        <v>42718</v>
      </c>
    </row>
    <row r="1284">
      <c r="A1284" t="str">
        <v>Informatique</v>
      </c>
      <c r="B1284" t="str">
        <v>Réalisation de clip vidéo- bases techniques (CP FFP)</v>
      </c>
      <c r="C1284" t="str">
        <v>Créa image communication</v>
      </c>
      <c r="D1284" t="str">
        <f>HYPERLINK("https://inventaire.cncp.gouv.fr/fiches/1528/","1528")</f>
        <v>1528</v>
      </c>
      <c r="E1284" t="str">
        <f>HYPERLINK("http://www.intercariforef.org/formations/certification-87679.html","87679")</f>
        <v>87679</v>
      </c>
      <c r="F1284" s="1">
        <v>42418</v>
      </c>
      <c r="G1284" s="1">
        <v>42418</v>
      </c>
    </row>
    <row r="1285">
      <c r="A1285" t="str">
        <v>Informatique</v>
      </c>
      <c r="B1285" t="str">
        <v>Réaliser un site internet à partir de Wordpress</v>
      </c>
      <c r="C1285" t="str">
        <v>Simplon.co</v>
      </c>
      <c r="D1285" t="str">
        <f>HYPERLINK("https://inventaire.cncp.gouv.fr/fiches/2083/","2083")</f>
        <v>2083</v>
      </c>
      <c r="E1285" t="str">
        <f>HYPERLINK("http://www.intercariforef.org/formations/certification-90027.html","90027")</f>
        <v>90027</v>
      </c>
      <c r="F1285" s="1">
        <v>42558</v>
      </c>
      <c r="G1285" s="1">
        <v>42718</v>
      </c>
    </row>
    <row r="1286">
      <c r="A1286" t="str">
        <v>Informatique</v>
      </c>
      <c r="B1286" t="str">
        <v>Reportage audiovisuel pour JRI - Bases techniques</v>
      </c>
      <c r="C1286" t="str">
        <v>Créa image communication</v>
      </c>
      <c r="D1286" t="str">
        <f>HYPERLINK("https://inventaire.cncp.gouv.fr/fiches/4011/","4011")</f>
        <v>4011</v>
      </c>
      <c r="E1286" t="str">
        <f>HYPERLINK("http://www.intercariforef.org/formations/certification-104095.html","104095")</f>
        <v>104095</v>
      </c>
      <c r="F1286" s="1">
        <v>43398</v>
      </c>
      <c r="G1286" s="1">
        <v>43398</v>
      </c>
    </row>
    <row r="1287">
      <c r="A1287" t="str">
        <v>Informatique</v>
      </c>
      <c r="B1287" t="str">
        <v>Se développer par l'exploitation des données clients</v>
      </c>
      <c r="C1287" t="str">
        <v>École supérieure d'assurances</v>
      </c>
      <c r="D1287" t="str">
        <f>HYPERLINK("https://inventaire.cncp.gouv.fr/fiches/2962/","2962")</f>
        <v>2962</v>
      </c>
      <c r="E1287" t="str">
        <f>HYPERLINK("http://www.intercariforef.org/formations/certification-96517.html","96517")</f>
        <v>96517</v>
      </c>
      <c r="F1287" s="1">
        <v>42928</v>
      </c>
      <c r="G1287" s="1">
        <v>42928</v>
      </c>
    </row>
    <row r="1288">
      <c r="A1288" t="str">
        <v>Informatique</v>
      </c>
      <c r="B1288" t="str">
        <v>Sécurité Inforensic</v>
      </c>
      <c r="C1288" t="str">
        <v>M2I Formation</v>
      </c>
      <c r="D1288" t="str">
        <f>HYPERLINK("https://inventaire.cncp.gouv.fr/fiches/2679/","2679")</f>
        <v>2679</v>
      </c>
      <c r="E1288" t="str">
        <f>HYPERLINK("http://www.intercariforef.org/formations/certification-94841.html","94841")</f>
        <v>94841</v>
      </c>
      <c r="F1288" s="1">
        <v>42836</v>
      </c>
      <c r="G1288" s="1">
        <v>42836</v>
      </c>
    </row>
    <row r="1289">
      <c r="A1289" t="str">
        <v>Informatique</v>
      </c>
      <c r="B1289" t="str">
        <v>Sécurité Pentesting</v>
      </c>
      <c r="C1289" t="str">
        <v>M2I Formation</v>
      </c>
      <c r="D1289" t="str">
        <f>HYPERLINK("https://inventaire.cncp.gouv.fr/fiches/2680/","2680")</f>
        <v>2680</v>
      </c>
      <c r="E1289" t="str">
        <f>HYPERLINK("http://www.intercariforef.org/formations/certification-94833.html","94833")</f>
        <v>94833</v>
      </c>
      <c r="F1289" s="1">
        <v>42836</v>
      </c>
      <c r="G1289" s="1">
        <v>42836</v>
      </c>
    </row>
    <row r="1290">
      <c r="A1290" t="str">
        <v>Informatique</v>
      </c>
      <c r="B1290" t="str">
        <v>Social media management</v>
      </c>
      <c r="C1290" t="str">
        <v>Comundi, Université Paris-Dauphine</v>
      </c>
      <c r="D1290" t="str">
        <f>HYPERLINK("https://inventaire.cncp.gouv.fr/fiches/3402/","3402")</f>
        <v>3402</v>
      </c>
      <c r="E1290" t="str">
        <f>HYPERLINK("http://www.intercariforef.org/formations/certification-100007.html","100007")</f>
        <v>100007</v>
      </c>
      <c r="F1290" s="1">
        <v>43151</v>
      </c>
      <c r="G1290" s="1">
        <v>43151</v>
      </c>
    </row>
    <row r="1291">
      <c r="A1291" t="str">
        <v>Informatique</v>
      </c>
      <c r="B1291" t="str">
        <v>Socle numérique du secteur bancaire</v>
      </c>
      <c r="C1291" t="str">
        <v>CPNE de la banque</v>
      </c>
      <c r="D1291" t="str">
        <f>HYPERLINK("https://inventaire.cncp.gouv.fr/fiches/2403/","2403")</f>
        <v>2403</v>
      </c>
      <c r="E1291" t="str">
        <f>HYPERLINK("http://www.intercariforef.org/formations/certification-94157.html","94157")</f>
        <v>94157</v>
      </c>
      <c r="F1291" s="1">
        <v>42772</v>
      </c>
      <c r="G1291" s="1">
        <v>42772</v>
      </c>
    </row>
    <row r="1292">
      <c r="A1292" t="str">
        <v>Informatique</v>
      </c>
      <c r="B1292" t="str">
        <v>Stratégie digitale des contenus : marketing des médias et Brand Content</v>
      </c>
      <c r="C1292" t="str">
        <v>Institut national de l'audiovisuel (INA)</v>
      </c>
      <c r="D1292" t="str">
        <f>HYPERLINK("https://inventaire.cncp.gouv.fr/fiches/3069/","3069")</f>
        <v>3069</v>
      </c>
      <c r="E1292" t="str">
        <f>HYPERLINK("http://www.intercariforef.org/formations/certification-99261.html","99261")</f>
        <v>99261</v>
      </c>
      <c r="F1292" s="1">
        <v>43080</v>
      </c>
      <c r="G1292" s="1">
        <v>43080</v>
      </c>
    </row>
    <row r="1293">
      <c r="A1293" t="str">
        <v>Informatique</v>
      </c>
      <c r="B1293" t="str">
        <v>Stratégie d'intégration de la blockchain</v>
      </c>
      <c r="C1293" t="str">
        <v>École supérieure d'assurances</v>
      </c>
      <c r="D1293" t="str">
        <f>HYPERLINK("https://inventaire.cncp.gouv.fr/fiches/2967/","2967")</f>
        <v>2967</v>
      </c>
      <c r="E1293" t="str">
        <f>HYPERLINK("http://www.intercariforef.org/formations/certification-96511.html","96511")</f>
        <v>96511</v>
      </c>
      <c r="F1293" s="1">
        <v>42928</v>
      </c>
      <c r="G1293" s="1">
        <v>42928</v>
      </c>
    </row>
    <row r="1294">
      <c r="A1294" t="str">
        <v>Informatique</v>
      </c>
      <c r="B1294" t="str">
        <v>Stratégie et pilotage des projets data</v>
      </c>
      <c r="C1294" t="str">
        <v>MediaSchool executive education</v>
      </c>
      <c r="D1294" t="str">
        <f>HYPERLINK("https://inventaire.cncp.gouv.fr/fiches/3885/","3885")</f>
        <v>3885</v>
      </c>
      <c r="E1294" t="str">
        <f>HYPERLINK("http://www.intercariforef.org/formations/certification-104127.html","104127")</f>
        <v>104127</v>
      </c>
      <c r="F1294" s="1">
        <v>43398</v>
      </c>
      <c r="G1294" s="1">
        <v>43398</v>
      </c>
    </row>
    <row r="1295">
      <c r="A1295" t="str">
        <v>Informatique</v>
      </c>
      <c r="B1295" t="str">
        <v>Systèmes Centraux - Infrastructure et développement</v>
      </c>
      <c r="C1295" t="str">
        <v>Université Paris-Est Créteil Val de-Marne - Paris 12</v>
      </c>
      <c r="D1295" t="str">
        <f>HYPERLINK("https://inventaire.cncp.gouv.fr/fiches/2556/","2556")</f>
        <v>2556</v>
      </c>
      <c r="E1295" t="str">
        <f>HYPERLINK("http://www.intercariforef.org/formations/certification-94887.html","94887")</f>
        <v>94887</v>
      </c>
      <c r="F1295" s="1">
        <v>42836</v>
      </c>
      <c r="G1295" s="1">
        <v>42979</v>
      </c>
    </row>
    <row r="1296">
      <c r="A1296" t="str">
        <v>Informatique</v>
      </c>
      <c r="B1296" t="str">
        <v>Systèmes de transport intelligents (STI) et mobilité dans les transports</v>
      </c>
      <c r="C1296" t="str">
        <v>Télécom Bretagne</v>
      </c>
      <c r="D1296" t="str">
        <f>HYPERLINK("https://inventaire.cncp.gouv.fr/fiches/1921/","1921")</f>
        <v>1921</v>
      </c>
      <c r="E1296" t="str">
        <f>HYPERLINK("http://www.intercariforef.org/formations/certification-89203.html","89203")</f>
        <v>89203</v>
      </c>
      <c r="F1296" s="1">
        <v>42521</v>
      </c>
      <c r="G1296" s="1">
        <v>42521</v>
      </c>
    </row>
    <row r="1297">
      <c r="A1297" t="str">
        <v>Informatique</v>
      </c>
      <c r="B1297" t="str">
        <v>Techniques journalistiques plurimédia et management de projet numérique</v>
      </c>
      <c r="C1297" t="str">
        <v>Edito&amp;Co</v>
      </c>
      <c r="D1297" t="str">
        <f>HYPERLINK("https://inventaire.cncp.gouv.fr/fiches/1605/","1605")</f>
        <v>1605</v>
      </c>
      <c r="E1297" t="str">
        <f>HYPERLINK("http://www.intercariforef.org/formations/certification-89183.html","89183")</f>
        <v>89183</v>
      </c>
      <c r="F1297" s="1">
        <v>42521</v>
      </c>
      <c r="G1297" s="1">
        <v>42521</v>
      </c>
    </row>
    <row r="1298">
      <c r="A1298" t="str">
        <v>Informatique</v>
      </c>
      <c r="B1298" t="str">
        <v>Tenir un rôle de maître d'ouvrage agile (Product owner)</v>
      </c>
      <c r="C1298" t="str">
        <v>Ecole polytechnique</v>
      </c>
      <c r="D1298" t="str">
        <f>HYPERLINK("https://inventaire.cncp.gouv.fr/fiches/2344/","2344")</f>
        <v>2344</v>
      </c>
      <c r="E1298" t="str">
        <f>HYPERLINK("http://www.intercariforef.org/formations/certification-94317.html","94317")</f>
        <v>94317</v>
      </c>
      <c r="F1298" s="1">
        <v>42787</v>
      </c>
      <c r="G1298" s="1">
        <v>42979</v>
      </c>
    </row>
    <row r="1299">
      <c r="A1299" t="str">
        <v>Informatique</v>
      </c>
      <c r="B1299" t="str">
        <v>TOSA</v>
      </c>
      <c r="C1299" t="str">
        <v>Isograd</v>
      </c>
      <c r="D1299" t="str">
        <f>HYPERLINK("https://inventaire.cncp.gouv.fr/fiches/8/","8")</f>
        <v>8</v>
      </c>
      <c r="E1299" t="str">
        <f>HYPERLINK("http://www.intercariforef.org/formations/certification-84517.html","84517")</f>
        <v>84517</v>
      </c>
      <c r="F1299" s="1">
        <v>42114</v>
      </c>
      <c r="G1299" s="1">
        <v>43189</v>
      </c>
    </row>
    <row r="1300">
      <c r="A1300" t="str">
        <v>Informatique</v>
      </c>
      <c r="B1300" t="str">
        <v>TOSCA EXPERT : Méthodologie d'homologation des applications informatiques</v>
      </c>
      <c r="C1300" t="str">
        <v>Groupe NORMASYS</v>
      </c>
      <c r="D1300" t="str">
        <f>HYPERLINK("https://inventaire.cncp.gouv.fr/fiches/2274/","2274")</f>
        <v>2274</v>
      </c>
      <c r="E1300" t="str">
        <f>HYPERLINK("http://www.intercariforef.org/formations/certification-98673.html","98673")</f>
        <v>98673</v>
      </c>
      <c r="F1300" s="1">
        <v>43039</v>
      </c>
      <c r="G1300" s="1">
        <v>43039</v>
      </c>
    </row>
    <row r="1301">
      <c r="A1301" t="str">
        <v>Informatique</v>
      </c>
      <c r="B1301" t="str">
        <v>Tourner et monter une vidéo de qualité avec un smartphone - Niveau avancé</v>
      </c>
      <c r="C1301" t="str">
        <v>T¿oeV Rheinland</v>
      </c>
      <c r="D1301" t="str">
        <f>HYPERLINK("https://inventaire.cncp.gouv.fr/fiches/3049/","3049")</f>
        <v>3049</v>
      </c>
      <c r="E1301" t="str">
        <f>HYPERLINK("http://www.intercariforef.org/formations/certification-100193.html","100193")</f>
        <v>100193</v>
      </c>
      <c r="F1301" s="1">
        <v>43154</v>
      </c>
      <c r="G1301" s="1">
        <v>43154</v>
      </c>
    </row>
    <row r="1302">
      <c r="A1302" t="str">
        <v>Informatique</v>
      </c>
      <c r="B1302" t="str">
        <v>Tourner et monter une vidéo de qualité avec un smartphone - Niveau Initial</v>
      </c>
      <c r="C1302" t="str">
        <v>T¿oeV Rheinland</v>
      </c>
      <c r="D1302" t="str">
        <f>HYPERLINK("https://inventaire.cncp.gouv.fr/fiches/3003/","3003")</f>
        <v>3003</v>
      </c>
      <c r="E1302" t="str">
        <f>HYPERLINK("http://www.intercariforef.org/formations/certification-100195.html","100195")</f>
        <v>100195</v>
      </c>
      <c r="F1302" s="1">
        <v>43154</v>
      </c>
      <c r="G1302" s="1">
        <v>43154</v>
      </c>
    </row>
    <row r="1303">
      <c r="A1303" t="str">
        <v>Informatique</v>
      </c>
      <c r="B1303" t="str">
        <v>Traitement des données</v>
      </c>
      <c r="C1303" t="str">
        <v>École supérieure d'assurances</v>
      </c>
      <c r="D1303" t="str">
        <f>HYPERLINK("https://inventaire.cncp.gouv.fr/fiches/2965/","2965")</f>
        <v>2965</v>
      </c>
      <c r="E1303" t="str">
        <f>HYPERLINK("http://www.intercariforef.org/formations/certification-96515.html","96515")</f>
        <v>96515</v>
      </c>
      <c r="F1303" s="1">
        <v>42928</v>
      </c>
      <c r="G1303" s="1">
        <v>42928</v>
      </c>
    </row>
    <row r="1304">
      <c r="A1304" t="str">
        <v>Informatique</v>
      </c>
      <c r="B1304" t="str">
        <v>U_WFREUA - SAP Certified Utilisateur Final - Achats avec SAP ERP</v>
      </c>
      <c r="C1304" t="str">
        <v>SAP France</v>
      </c>
      <c r="D1304" t="str">
        <f>HYPERLINK("https://inventaire.cncp.gouv.fr/fiches/566/","566")</f>
        <v>566</v>
      </c>
      <c r="E1304" t="str">
        <f>HYPERLINK("http://www.intercariforef.org/formations/certification-85783.html","85783")</f>
        <v>85783</v>
      </c>
      <c r="F1304" s="1">
        <v>42279</v>
      </c>
      <c r="G1304" s="1">
        <v>42718</v>
      </c>
    </row>
    <row r="1305">
      <c r="A1305" t="str">
        <v>Informatique</v>
      </c>
      <c r="B1305" t="str">
        <v>U_WFREUC - SAP Certified Utilisateur Final - Comptabilité Client avec SAP ERP</v>
      </c>
      <c r="C1305" t="str">
        <v>SAP France</v>
      </c>
      <c r="D1305" t="str">
        <f>HYPERLINK("https://inventaire.cncp.gouv.fr/fiches/564/","564")</f>
        <v>564</v>
      </c>
      <c r="E1305" t="str">
        <f>HYPERLINK("http://www.intercariforef.org/formations/certification-85764.html","85764")</f>
        <v>85764</v>
      </c>
      <c r="F1305" s="1">
        <v>42278</v>
      </c>
      <c r="G1305" s="1">
        <v>42718</v>
      </c>
    </row>
    <row r="1306">
      <c r="A1306" t="str">
        <v>Informatique</v>
      </c>
      <c r="B1306" t="str">
        <v>U_WFREUF - SAP Certified Utilisateur Final - Comptabilité Fournisseur avec SAP</v>
      </c>
      <c r="C1306" t="str">
        <v>SAP France</v>
      </c>
      <c r="D1306" t="str">
        <f>HYPERLINK("https://inventaire.cncp.gouv.fr/fiches/563/","563")</f>
        <v>563</v>
      </c>
      <c r="E1306" t="str">
        <f>HYPERLINK("http://www.intercariforef.org/formations/certification-85771.html","85771")</f>
        <v>85771</v>
      </c>
      <c r="F1306" s="1">
        <v>42278</v>
      </c>
      <c r="G1306" s="1">
        <v>42718</v>
      </c>
    </row>
    <row r="1307">
      <c r="A1307" t="str">
        <v>Informatique</v>
      </c>
      <c r="B1307" t="str">
        <v>U_WFREUV - SAP Certified Utilisateur Final - Ventes avec SAP ERP</v>
      </c>
      <c r="C1307" t="str">
        <v>SAP France</v>
      </c>
      <c r="D1307" t="str">
        <f>HYPERLINK("https://inventaire.cncp.gouv.fr/fiches/565/","565")</f>
        <v>565</v>
      </c>
      <c r="E1307" t="str">
        <f>HYPERLINK("http://www.intercariforef.org/formations/certification-85769.html","85769")</f>
        <v>85769</v>
      </c>
      <c r="F1307" s="1">
        <v>42278</v>
      </c>
      <c r="G1307" s="1">
        <v>42718</v>
      </c>
    </row>
    <row r="1308">
      <c r="A1308" t="str">
        <v>Informatique</v>
      </c>
      <c r="B1308" t="str">
        <v>Valorisation de contenus multimédias</v>
      </c>
      <c r="C1308" t="str">
        <v>Institut national de l'audiovisuel (INA)</v>
      </c>
      <c r="D1308" t="str">
        <f>HYPERLINK("https://inventaire.cncp.gouv.fr/fiches/2415/","2415")</f>
        <v>2415</v>
      </c>
      <c r="E1308" t="str">
        <f>HYPERLINK("http://www.intercariforef.org/formations/certification-93829.html","93829")</f>
        <v>93829</v>
      </c>
      <c r="F1308" s="1">
        <v>42740</v>
      </c>
      <c r="G1308" s="1">
        <v>42740</v>
      </c>
    </row>
    <row r="1309">
      <c r="A1309" t="str">
        <v>Informatique</v>
      </c>
      <c r="B1309" t="str">
        <v>Vente sédentaire de logiciels</v>
      </c>
      <c r="C1309" t="str">
        <v>Euridis Management</v>
      </c>
      <c r="D1309" t="str">
        <f>HYPERLINK("https://inventaire.cncp.gouv.fr/fiches/1615/","1615")</f>
        <v>1615</v>
      </c>
      <c r="E1309" t="str">
        <f>HYPERLINK("http://www.intercariforef.org/formations/certification-93825.html","93825")</f>
        <v>93825</v>
      </c>
      <c r="F1309" s="1">
        <v>42740</v>
      </c>
      <c r="G1309" s="1">
        <v>42740</v>
      </c>
    </row>
    <row r="1310">
      <c r="A1310" t="str">
        <v>Informatique</v>
      </c>
      <c r="B1310" t="str">
        <v>Vente stratégique B to B</v>
      </c>
      <c r="C1310" t="str">
        <v>Euridis Management</v>
      </c>
      <c r="D1310" t="str">
        <f>HYPERLINK("https://inventaire.cncp.gouv.fr/fiches/1614/","1614")</f>
        <v>1614</v>
      </c>
      <c r="E1310" t="str">
        <f>HYPERLINK("http://www.intercariforef.org/formations/certification-89245.html","89245")</f>
        <v>89245</v>
      </c>
      <c r="F1310" s="1">
        <v>42522</v>
      </c>
      <c r="G1310" s="1">
        <v>42718</v>
      </c>
    </row>
    <row r="1311">
      <c r="A1311" t="str">
        <v>Informatique</v>
      </c>
      <c r="B1311" t="str">
        <v>Vidéo et montage - bases techniques (CP FFP)</v>
      </c>
      <c r="C1311" t="str">
        <v>Créa image communication</v>
      </c>
      <c r="D1311" t="str">
        <f>HYPERLINK("https://inventaire.cncp.gouv.fr/fiches/1524/","1524")</f>
        <v>1524</v>
      </c>
      <c r="E1311" t="str">
        <f>HYPERLINK("http://www.intercariforef.org/formations/certification-87683.html","87683")</f>
        <v>87683</v>
      </c>
      <c r="F1311" s="1">
        <v>42418</v>
      </c>
      <c r="G1311" s="1">
        <v>42418</v>
      </c>
    </row>
    <row r="1312">
      <c r="A1312" t="str">
        <v>Informatique</v>
      </c>
      <c r="B1312" t="str">
        <v>Vidéos d'entreprise - Fondamentaux et bases techniques</v>
      </c>
      <c r="C1312" t="str">
        <v>Créa image communication</v>
      </c>
      <c r="D1312" t="str">
        <f>HYPERLINK("https://inventaire.cncp.gouv.fr/fiches/1367/","1367")</f>
        <v>1367</v>
      </c>
      <c r="E1312" t="str">
        <f>HYPERLINK("http://www.intercariforef.org/formations/certification-99173.html","99173")</f>
        <v>99173</v>
      </c>
      <c r="F1312" s="1">
        <v>43076</v>
      </c>
      <c r="G1312" s="1">
        <v>43076</v>
      </c>
    </row>
    <row r="1313">
      <c r="A1313" t="str">
        <v>Informatique</v>
      </c>
      <c r="B1313" t="str">
        <v>VISI Machining : CFAO 2 à 5 AXES</v>
      </c>
      <c r="C1313" t="str">
        <v>VERO FRANCE (Groupe VERO Software)</v>
      </c>
      <c r="D1313" t="str">
        <f>HYPERLINK("https://inventaire.cncp.gouv.fr/fiches/2206/","2206")</f>
        <v>2206</v>
      </c>
      <c r="E1313" t="str">
        <f>HYPERLINK("http://www.intercariforef.org/formations/certification-90007.html","90007")</f>
        <v>90007</v>
      </c>
      <c r="F1313" s="1">
        <v>42557</v>
      </c>
      <c r="G1313" s="1">
        <v>42718</v>
      </c>
    </row>
    <row r="1314">
      <c r="A1314" t="str">
        <v>Informatique</v>
      </c>
      <c r="B1314" t="str">
        <v>VISI Modelling : CAO 2D 3D</v>
      </c>
      <c r="C1314" t="str">
        <v>VERO FRANCE (Groupe VERO Software)</v>
      </c>
      <c r="D1314" t="str">
        <f>HYPERLINK("https://inventaire.cncp.gouv.fr/fiches/2205/","2205")</f>
        <v>2205</v>
      </c>
      <c r="E1314" t="str">
        <f>HYPERLINK("http://www.intercariforef.org/formations/certification-90009.html","90009")</f>
        <v>90009</v>
      </c>
      <c r="F1314" s="1">
        <v>42557</v>
      </c>
      <c r="G1314" s="1">
        <v>42718</v>
      </c>
    </row>
    <row r="1315">
      <c r="A1315" t="str">
        <v>Informatique</v>
      </c>
      <c r="B1315" t="str">
        <v>Visualisation des données</v>
      </c>
      <c r="C1315" t="str">
        <v>École supérieure d'assurances</v>
      </c>
      <c r="D1315" t="str">
        <f>HYPERLINK("https://inventaire.cncp.gouv.fr/fiches/2966/","2966")</f>
        <v>2966</v>
      </c>
      <c r="E1315" t="str">
        <f>HYPERLINK("http://www.intercariforef.org/formations/certification-96513.html","96513")</f>
        <v>96513</v>
      </c>
      <c r="F1315" s="1">
        <v>42928</v>
      </c>
      <c r="G1315" s="1">
        <v>42928</v>
      </c>
    </row>
    <row r="1316">
      <c r="A1316" t="str">
        <v>Informatique</v>
      </c>
      <c r="B1316" t="str">
        <v>Webdesign - Fondamentaux et bases techniques (CP FFP)</v>
      </c>
      <c r="C1316" t="str">
        <v>Créa image communication</v>
      </c>
      <c r="D1316" t="str">
        <f>HYPERLINK("https://inventaire.cncp.gouv.fr/fiches/3725/","3725")</f>
        <v>3725</v>
      </c>
      <c r="E1316" t="str">
        <f>HYPERLINK("http://www.intercariforef.org/formations/certification-104159.html","104159")</f>
        <v>104159</v>
      </c>
      <c r="F1316" s="1">
        <v>43398</v>
      </c>
      <c r="G1316" s="1">
        <v>43398</v>
      </c>
    </row>
    <row r="1317">
      <c r="A1317" t="str">
        <v>Informatique</v>
      </c>
      <c r="B1317" t="str">
        <v>WordPress (niveau 2)</v>
      </c>
      <c r="C1317" t="str">
        <v>OpenClassrooms</v>
      </c>
      <c r="D1317" t="str">
        <f>HYPERLINK("https://inventaire.cncp.gouv.fr/fiches/1475/","1475")</f>
        <v>1475</v>
      </c>
      <c r="E1317" t="str">
        <f>HYPERLINK("http://www.intercariforef.org/formations/certification-91927.html","91927")</f>
        <v>91927</v>
      </c>
      <c r="F1317" s="1">
        <v>42662</v>
      </c>
      <c r="G1317" s="1">
        <v>42718</v>
      </c>
    </row>
    <row r="1318">
      <c r="A1318" t="str">
        <v>Ingénierie formation pédagogie</v>
      </c>
      <c r="B1318" t="str">
        <v>Accompagnement de parcours de reconnaissance des acquis de l'expérience</v>
      </c>
      <c r="C1318" t="str">
        <v>Différent et Compétent Réseau</v>
      </c>
      <c r="D1318" t="str">
        <f>HYPERLINK("https://inventaire.cncp.gouv.fr/fiches/2484/","2484")</f>
        <v>2484</v>
      </c>
      <c r="E1318" t="str">
        <f>HYPERLINK("http://www.intercariforef.org/formations/certification-97093.html","97093")</f>
        <v>97093</v>
      </c>
      <c r="F1318" s="1">
        <v>42978</v>
      </c>
      <c r="G1318" s="1">
        <v>42978</v>
      </c>
    </row>
    <row r="1319">
      <c r="A1319" t="str">
        <v>Ingénierie formation pédagogie</v>
      </c>
      <c r="B1319" t="str">
        <v>Accompagnement des apprentissages et de la formation en situation de travail</v>
      </c>
      <c r="C1319" t="str">
        <v>C-CAMPUS</v>
      </c>
      <c r="D1319" t="str">
        <f>HYPERLINK("https://inventaire.cncp.gouv.fr/fiches/2428/","2428")</f>
        <v>2428</v>
      </c>
      <c r="E1319" t="str">
        <f>HYPERLINK("http://www.intercariforef.org/formations/certification-93919.html","93919")</f>
        <v>93919</v>
      </c>
      <c r="F1319" s="1">
        <v>42744</v>
      </c>
      <c r="G1319" s="1">
        <v>42744</v>
      </c>
    </row>
    <row r="1320">
      <c r="A1320" t="str">
        <v>Ingénierie formation pédagogie</v>
      </c>
      <c r="B1320" t="str">
        <v>Accompagnement VAE (CP FFP)</v>
      </c>
      <c r="C1320" t="str">
        <v>Actions perspectives &amp; compétences</v>
      </c>
      <c r="D1320" t="str">
        <f>HYPERLINK("https://inventaire.cncp.gouv.fr/fiches/2090/","2090")</f>
        <v>2090</v>
      </c>
      <c r="E1320" t="str">
        <f>HYPERLINK("http://www.intercariforef.org/formations/certification-94031.html","94031")</f>
        <v>94031</v>
      </c>
      <c r="F1320" s="1">
        <v>42748</v>
      </c>
      <c r="G1320" s="1">
        <v>42748</v>
      </c>
    </row>
    <row r="1321" ht="26.2" customHeight="1">
      <c r="A1321" t="str">
        <v>Ingénierie formation pédagogie</v>
      </c>
      <c r="B1321" t="str">
        <v>Accompagner et remédier aux difficultés d'apprentissage grâce aux ateliers de raisonnement logique (ARL)® et aux techniques d'aide à l'explicitation</v>
      </c>
      <c r="C1321" t="str">
        <v>Le Patio Formation</v>
      </c>
      <c r="D1321" t="str">
        <f>HYPERLINK("https://inventaire.cncp.gouv.fr/fiches/2218/","2218")</f>
        <v>2218</v>
      </c>
      <c r="E1321" t="str">
        <f>HYPERLINK("http://www.intercariforef.org/formations/certification-89997.html","89997")</f>
        <v>89997</v>
      </c>
      <c r="F1321" s="1">
        <v>42557</v>
      </c>
      <c r="G1321" s="1">
        <v>42557</v>
      </c>
    </row>
    <row r="1322" ht="26.2" customHeight="1">
      <c r="A1322" t="str">
        <v>Ingénierie formation pédagogie</v>
      </c>
      <c r="B1322" t="str">
        <v>Accompagner les personnes dans leur orientation, leur insertion, leur évolution professionnelle avec la démarche éducative expérientielle ADVP</v>
      </c>
      <c r="C1322" t="str">
        <v>Le Patio Formation</v>
      </c>
      <c r="D1322" t="str">
        <f>HYPERLINK("https://inventaire.cncp.gouv.fr/fiches/2219/","2219")</f>
        <v>2219</v>
      </c>
      <c r="E1322" t="str">
        <f>HYPERLINK("http://www.intercariforef.org/formations/certification-89993.html","89993")</f>
        <v>89993</v>
      </c>
      <c r="F1322" s="1">
        <v>42557</v>
      </c>
      <c r="G1322" s="1">
        <v>42557</v>
      </c>
    </row>
    <row r="1323" ht="26.2" customHeight="1">
      <c r="A1323" t="str">
        <v>Ingénierie formation pédagogie</v>
      </c>
      <c r="B1323" t="str">
        <v>Accompagner les personnes dans leur recherche d'emploi avec la démarche éducative expérientielle ADVP</v>
      </c>
      <c r="C1323" t="str">
        <v>Le Patio Formation</v>
      </c>
      <c r="D1323" t="str">
        <f>HYPERLINK("https://inventaire.cncp.gouv.fr/fiches/2220/","2220")</f>
        <v>2220</v>
      </c>
      <c r="E1323" t="str">
        <f>HYPERLINK("http://www.intercariforef.org/formations/certification-89989.html","89989")</f>
        <v>89989</v>
      </c>
      <c r="F1323" s="1">
        <v>42557</v>
      </c>
      <c r="G1323" s="1">
        <v>42557</v>
      </c>
    </row>
    <row r="1324">
      <c r="A1324" t="str">
        <v>Ingénierie formation pédagogie</v>
      </c>
      <c r="B1324" t="str">
        <v>Accompagner les transitions professionnelles</v>
      </c>
      <c r="C1324" t="str">
        <v>5A Conseil</v>
      </c>
      <c r="D1324" t="str">
        <f>HYPERLINK("https://inventaire.cncp.gouv.fr/fiches/3215/","3215")</f>
        <v>3215</v>
      </c>
      <c r="E1324" t="str">
        <f>HYPERLINK("http://www.intercariforef.org/formations/certification-99191.html","99191")</f>
        <v>99191</v>
      </c>
      <c r="F1324" s="1">
        <v>43076</v>
      </c>
      <c r="G1324" s="1">
        <v>43076</v>
      </c>
    </row>
    <row r="1325">
      <c r="A1325" t="str">
        <v>Ingénierie formation pédagogie</v>
      </c>
      <c r="B1325" t="str">
        <v>Animation de formation en agilité comportementale</v>
      </c>
      <c r="C1325" t="str">
        <v>Agil'oa</v>
      </c>
      <c r="D1325" t="str">
        <f>HYPERLINK("https://inventaire.cncp.gouv.fr/fiches/3554/","3554")</f>
        <v>3554</v>
      </c>
      <c r="E1325" t="str">
        <f>HYPERLINK("http://www.intercariforef.org/formations/certification-101367.html","101367")</f>
        <v>101367</v>
      </c>
      <c r="F1325" s="1">
        <v>43259</v>
      </c>
      <c r="G1325" s="1">
        <v>43259</v>
      </c>
    </row>
    <row r="1326" ht="26.2" customHeight="1">
      <c r="A1326" t="str">
        <v>Ingénierie formation pédagogie</v>
      </c>
      <c r="B1326" t="str">
        <v>Animation d'une formation interne</v>
      </c>
      <c r="C1326" t="str">
        <v>CPNE de la métallurgie, CPNE de l'industrie textile, CPNE de l'intersecteurs papiers-cartons, CPNE des industries de l'habillement, CPNE des industries de santé</v>
      </c>
      <c r="D1326" t="str">
        <f>HYPERLINK("https://inventaire.cncp.gouv.fr/fiches/2223/","2223")</f>
        <v>2223</v>
      </c>
      <c r="E1326" t="str">
        <f>HYPERLINK("http://www.intercariforef.org/formations/certification-89983.html","89983")</f>
        <v>89983</v>
      </c>
      <c r="F1326" s="1">
        <v>42557</v>
      </c>
      <c r="G1326" s="1">
        <v>42979</v>
      </c>
    </row>
    <row r="1327">
      <c r="A1327" t="str">
        <v>Ingénierie formation pédagogie</v>
      </c>
      <c r="B1327" t="str">
        <v>Certificat de compétence pédagogique</v>
      </c>
      <c r="C1327" t="str">
        <v>Association de gestion des certificats de compétence pédagogique</v>
      </c>
      <c r="D1327" t="str">
        <f>HYPERLINK("https://inventaire.cncp.gouv.fr/fiches/3090/","3090")</f>
        <v>3090</v>
      </c>
      <c r="E1327" t="str">
        <f>HYPERLINK("http://www.intercariforef.org/formations/certification-99229.html","99229")</f>
        <v>99229</v>
      </c>
      <c r="F1327" s="1">
        <v>43077</v>
      </c>
      <c r="G1327" s="1">
        <v>43077</v>
      </c>
    </row>
    <row r="1328" ht="26.2" customHeight="1">
      <c r="A1328" t="str">
        <v>Ingénierie formation pédagogie</v>
      </c>
      <c r="B1328" t="str">
        <v>Certificat de compétences de formateur évaluateur interne des domaines skiables et des remontées mécaniques</v>
      </c>
      <c r="C1328" t="str">
        <v>CPNE des remontées mécaniques et domaines skiables</v>
      </c>
      <c r="D1328" t="str">
        <f>HYPERLINK("https://inventaire.cncp.gouv.fr/fiches/2648/","2648")</f>
        <v>2648</v>
      </c>
      <c r="E1328" t="str">
        <f>HYPERLINK("http://www.intercariforef.org/formations/certification-94853.html","94853")</f>
        <v>94853</v>
      </c>
      <c r="F1328" s="1">
        <v>42836</v>
      </c>
      <c r="G1328" s="1">
        <v>42836</v>
      </c>
    </row>
    <row r="1329">
      <c r="A1329" t="str">
        <v>Ingénierie formation pédagogie</v>
      </c>
      <c r="B1329" t="str">
        <v>Certificat de Compétences en Entreprise (CCE) "Exercer la mission de formateur en entreprise"</v>
      </c>
      <c r="C1329" t="str">
        <v>CCI France - Assemblée des chambres françaises de commerce et d'industrie</v>
      </c>
      <c r="D1329" t="str">
        <f>HYPERLINK("https://inventaire.cncp.gouv.fr/fiches/105/","105")</f>
        <v>105</v>
      </c>
      <c r="E1329" t="str">
        <f>HYPERLINK("http://www.intercariforef.org/formations/certification-85539.html","85539")</f>
        <v>85539</v>
      </c>
      <c r="F1329" s="1">
        <v>42269</v>
      </c>
      <c r="G1329" s="1">
        <v>43293</v>
      </c>
    </row>
    <row r="1330">
      <c r="A1330" t="str">
        <v>Ingénierie formation pédagogie</v>
      </c>
      <c r="B1330" t="str">
        <v>Certificat de Compétences en Entreprise (CCE) "Exercer le rôle de tuteur en entreprise"</v>
      </c>
      <c r="C1330" t="str">
        <v>CCI France - Assemblée des chambres françaises de commerce et d'industrie</v>
      </c>
      <c r="D1330" t="str">
        <f>HYPERLINK("https://inventaire.cncp.gouv.fr/fiches/91/","91")</f>
        <v>91</v>
      </c>
      <c r="E1330" t="str">
        <f>HYPERLINK("http://www.intercariforef.org/formations/certification-85540.html","85540")</f>
        <v>85540</v>
      </c>
      <c r="F1330" s="1">
        <v>42269</v>
      </c>
      <c r="G1330" s="1">
        <v>43293</v>
      </c>
    </row>
    <row r="1331">
      <c r="A1331" t="str">
        <v>Ingénierie formation pédagogie</v>
      </c>
      <c r="B1331" t="str">
        <v>Certificat de Consultant-formateur en intelligence créative</v>
      </c>
      <c r="C1331" t="str">
        <v>Iris</v>
      </c>
      <c r="D1331" t="str">
        <f>HYPERLINK("https://inventaire.cncp.gouv.fr/fiches/2025/","2025")</f>
        <v>2025</v>
      </c>
      <c r="E1331" t="str">
        <f>HYPERLINK("http://www.intercariforef.org/formations/certification-90087.html","90087")</f>
        <v>90087</v>
      </c>
      <c r="F1331" s="1">
        <v>42562</v>
      </c>
      <c r="G1331" s="1">
        <v>42562</v>
      </c>
    </row>
    <row r="1332">
      <c r="A1332" t="str">
        <v>Ingénierie formation pédagogie</v>
      </c>
      <c r="B1332" t="str">
        <v>Certificat de formateur en sauvetage secourisme du travail</v>
      </c>
      <c r="C1332" t="str">
        <v>Institut national de recherche et de sécurité</v>
      </c>
      <c r="D1332" t="str">
        <f>HYPERLINK("https://inventaire.cncp.gouv.fr/fiches/720/","720")</f>
        <v>720</v>
      </c>
      <c r="E1332" t="str">
        <f>HYPERLINK("http://www.intercariforef.org/formations/certification-84726.html","84726")</f>
        <v>84726</v>
      </c>
      <c r="F1332" s="1">
        <v>42156</v>
      </c>
      <c r="G1332" s="1">
        <v>42522</v>
      </c>
    </row>
    <row r="1333">
      <c r="A1333" t="str">
        <v>Ingénierie formation pédagogie</v>
      </c>
      <c r="B1333" t="str">
        <v>Certification à l'évaluation Kirkpatrick Four Levels® - Niveau bronze</v>
      </c>
      <c r="C1333" t="str">
        <v>Kirkpatric­k Partners­, Formaeva</v>
      </c>
      <c r="D1333" t="str">
        <f>HYPERLINK("https://inventaire.cncp.gouv.fr/fiches/2562/","2562")</f>
        <v>2562</v>
      </c>
      <c r="E1333" t="str">
        <f>HYPERLINK("http://www.intercariforef.org/formations/certification-95239.html","95239")</f>
        <v>95239</v>
      </c>
      <c r="F1333" s="1">
        <v>42851</v>
      </c>
      <c r="G1333" s="1">
        <v>42851</v>
      </c>
    </row>
    <row r="1334">
      <c r="A1334" t="str">
        <v>Ingénierie formation pédagogie</v>
      </c>
      <c r="B1334" t="str">
        <v>Certification Bilan de Compétences (CP FFP)</v>
      </c>
      <c r="C1334" t="str">
        <v>Actions perspectives &amp; compétences</v>
      </c>
      <c r="D1334" t="str">
        <f>HYPERLINK("https://inventaire.cncp.gouv.fr/fiches/3592/","3592")</f>
        <v>3592</v>
      </c>
      <c r="E1334" t="str">
        <f>HYPERLINK("http://www.intercariforef.org/formations/certification-104009.html","104009")</f>
        <v>104009</v>
      </c>
      <c r="F1334" s="1">
        <v>43392</v>
      </c>
      <c r="G1334" s="1">
        <v>43392</v>
      </c>
    </row>
    <row r="1335">
      <c r="A1335" t="str">
        <v>Ingénierie formation pédagogie</v>
      </c>
      <c r="B1335" t="str">
        <v>Certification de tuteur</v>
      </c>
      <c r="C1335" t="str">
        <v>Centre de formation de la profession bancaire (CFPB)</v>
      </c>
      <c r="D1335" t="str">
        <f>HYPERLINK("https://inventaire.cncp.gouv.fr/fiches/3038/","3038")</f>
        <v>3038</v>
      </c>
      <c r="E1335" t="str">
        <f>HYPERLINK("http://www.intercariforef.org/formations/certification-98525.html","98525")</f>
        <v>98525</v>
      </c>
      <c r="F1335" s="1">
        <v>43033</v>
      </c>
      <c r="G1335" s="1">
        <v>43033</v>
      </c>
    </row>
    <row r="1336">
      <c r="A1336" t="str">
        <v>Ingénierie formation pédagogie</v>
      </c>
      <c r="B1336" t="str">
        <v>Conception et Animation de Formation (CP FFP)</v>
      </c>
      <c r="C1336" t="str">
        <v>DEMOS</v>
      </c>
      <c r="D1336" t="str">
        <f>HYPERLINK("https://inventaire.cncp.gouv.fr/fiches/2369/","2369")</f>
        <v>2369</v>
      </c>
      <c r="E1336" t="str">
        <f>HYPERLINK("http://www.intercariforef.org/formations/certification-91887.html","91887")</f>
        <v>91887</v>
      </c>
      <c r="F1336" s="1">
        <v>42662</v>
      </c>
      <c r="G1336" s="1">
        <v>42662</v>
      </c>
    </row>
    <row r="1337">
      <c r="A1337" t="str">
        <v>Ingénierie formation pédagogie</v>
      </c>
      <c r="B1337" t="str">
        <v>Conception et animation d'une formation mixte ou à distance (CP FFP)</v>
      </c>
      <c r="C1337" t="str">
        <v>Marijul RH</v>
      </c>
      <c r="D1337" t="str">
        <f>HYPERLINK("https://inventaire.cncp.gouv.fr/fiches/3903/","3903")</f>
        <v>3903</v>
      </c>
      <c r="E1337" t="str">
        <f>HYPERLINK("http://www.intercariforef.org/formations/certification-104121.html","104121")</f>
        <v>104121</v>
      </c>
      <c r="F1337" s="1">
        <v>43398</v>
      </c>
      <c r="G1337" s="1">
        <v>43398</v>
      </c>
    </row>
    <row r="1338" ht="26.2" customHeight="1">
      <c r="A1338" t="str">
        <v>Ingénierie formation pédagogie</v>
      </c>
      <c r="B1338" t="str">
        <v>Conception et encadrement d'une action de formation</v>
      </c>
      <c r="C1338" t="str">
        <v>Ministère de l'intérieur, Direction générale de la gendarmerie nationale (DGGN), Direction générale de la police nationale (DGPN)</v>
      </c>
      <c r="D1338" t="str">
        <f>HYPERLINK("https://inventaire.cncp.gouv.fr/fiches/3159/","3159")</f>
        <v>3159</v>
      </c>
      <c r="E1338" t="str">
        <f>HYPERLINK("http://www.intercariforef.org/formations/certification-99171.html","99171")</f>
        <v>99171</v>
      </c>
      <c r="F1338" s="1">
        <v>43076</v>
      </c>
      <c r="G1338" s="1">
        <v>43336</v>
      </c>
    </row>
    <row r="1339">
      <c r="A1339" t="str">
        <v>Ingénierie formation pédagogie</v>
      </c>
      <c r="B1339" t="str">
        <v>Conception et production de ressources de formation blended-learning</v>
      </c>
      <c r="C1339" t="str">
        <v>Institut supérieur des technologies de la formation</v>
      </c>
      <c r="D1339" t="str">
        <f>HYPERLINK("https://inventaire.cncp.gouv.fr/fiches/1369/","1369")</f>
        <v>1369</v>
      </c>
      <c r="E1339" t="str">
        <f>HYPERLINK("http://www.intercariforef.org/formations/certification-86209.html","86209")</f>
        <v>86209</v>
      </c>
      <c r="F1339" s="1">
        <v>42320</v>
      </c>
      <c r="G1339" s="1">
        <v>42320</v>
      </c>
    </row>
    <row r="1340">
      <c r="A1340" t="str">
        <v>Ingénierie formation pédagogie</v>
      </c>
      <c r="B1340" t="str">
        <v>Concevoir, animer et évaluer une action de formation : former des adultes (FA)</v>
      </c>
      <c r="C1340" t="str">
        <v>SIPCA</v>
      </c>
      <c r="D1340" t="str">
        <f>HYPERLINK("https://inventaire.cncp.gouv.fr/fiches/1604/","1604")</f>
        <v>1604</v>
      </c>
      <c r="E1340" t="str">
        <f>HYPERLINK("http://www.intercariforef.org/formations/certification-88587.html","88587")</f>
        <v>88587</v>
      </c>
      <c r="F1340" s="1">
        <v>42481</v>
      </c>
      <c r="G1340" s="1">
        <v>42979</v>
      </c>
    </row>
    <row r="1341">
      <c r="A1341" t="str">
        <v>Ingénierie formation pédagogie</v>
      </c>
      <c r="B1341" t="str">
        <v>Conseil en création d'entreprise</v>
      </c>
      <c r="C1341" t="str">
        <v>Agence France Entrepreneur</v>
      </c>
      <c r="D1341" t="str">
        <f>HYPERLINK("https://inventaire.cncp.gouv.fr/fiches/3558/","3558")</f>
        <v>3558</v>
      </c>
      <c r="E1341" t="str">
        <f>HYPERLINK("http://www.intercariforef.org/formations/certification-101167.html","101167")</f>
        <v>101167</v>
      </c>
      <c r="F1341" s="1">
        <v>43250</v>
      </c>
      <c r="G1341" s="1">
        <v>43250</v>
      </c>
    </row>
    <row r="1342">
      <c r="A1342" t="str">
        <v>Ingénierie formation pédagogie</v>
      </c>
      <c r="B1342" t="str">
        <v>CP FFP formateur professionnel</v>
      </c>
      <c r="C1342" t="str">
        <v>Cegos</v>
      </c>
      <c r="D1342" t="str">
        <f>HYPERLINK("https://inventaire.cncp.gouv.fr/fiches/316/","316")</f>
        <v>316</v>
      </c>
      <c r="E1342" t="str">
        <f>HYPERLINK("http://www.intercariforef.org/formations/certification-84719.html","84719")</f>
        <v>84719</v>
      </c>
      <c r="F1342" s="1">
        <v>42156</v>
      </c>
      <c r="G1342" s="1">
        <v>42156</v>
      </c>
    </row>
    <row r="1343" ht="26.2" customHeight="1">
      <c r="A1343" t="str">
        <v>Ingénierie formation pédagogie</v>
      </c>
      <c r="B1343" t="str">
        <v>Création d'une formation interne</v>
      </c>
      <c r="C1343" t="str">
        <v>CPNE de la métallurgie, CPNE de l'industrie textile, CPNE de l'intersecteurs papiers-cartons, CPNE des industries de l'habillement, CPNE des industries de santé</v>
      </c>
      <c r="D1343" t="str">
        <f>HYPERLINK("https://inventaire.cncp.gouv.fr/fiches/2225/","2225")</f>
        <v>2225</v>
      </c>
      <c r="E1343" t="str">
        <f>HYPERLINK("http://www.intercariforef.org/formations/certification-89977.html","89977")</f>
        <v>89977</v>
      </c>
      <c r="F1343" s="1">
        <v>42557</v>
      </c>
      <c r="G1343" s="1">
        <v>42979</v>
      </c>
    </row>
    <row r="1344">
      <c r="A1344" t="str">
        <v>Ingénierie formation pédagogie</v>
      </c>
      <c r="B1344" t="str">
        <v>Devenir formateur en initiation à la prévention des risques psychosociaux</v>
      </c>
      <c r="C1344" t="str">
        <v>Ministère du travail, Institut national de recherche et de sécurité</v>
      </c>
      <c r="D1344" t="str">
        <f>HYPERLINK("https://inventaire.cncp.gouv.fr/fiches/1042/","1042")</f>
        <v>1042</v>
      </c>
      <c r="E1344" t="str">
        <f>HYPERLINK("http://www.intercariforef.org/formations/certification-85548.html","85548")</f>
        <v>85548</v>
      </c>
      <c r="F1344" s="1">
        <v>42269</v>
      </c>
      <c r="G1344" s="1">
        <v>43125</v>
      </c>
    </row>
    <row r="1345">
      <c r="A1345" t="str">
        <v>Ingénierie formation pédagogie</v>
      </c>
      <c r="B1345" t="str">
        <v>Devenir formateur en prévention des risques liés à l'amiante. Sous-section 3</v>
      </c>
      <c r="C1345" t="str">
        <v>Ministère du travail, Institut national de recherche et de sécurité</v>
      </c>
      <c r="D1345" t="str">
        <f>HYPERLINK("https://inventaire.cncp.gouv.fr/fiches/1259/","1259")</f>
        <v>1259</v>
      </c>
      <c r="E1345" t="str">
        <f>HYPERLINK("http://www.intercariforef.org/formations/certification-85537.html","85537")</f>
        <v>85537</v>
      </c>
      <c r="F1345" s="1">
        <v>42269</v>
      </c>
      <c r="G1345" s="1">
        <v>43125</v>
      </c>
    </row>
    <row r="1346">
      <c r="A1346" t="str">
        <v>Ingénierie formation pédagogie</v>
      </c>
      <c r="B1346" t="str">
        <v>Digital Learning Management</v>
      </c>
      <c r="C1346" t="str">
        <v>Édition formation entreprise (EFE)</v>
      </c>
      <c r="D1346" t="str">
        <f>HYPERLINK("https://inventaire.cncp.gouv.fr/fiches/3484/","3484")</f>
        <v>3484</v>
      </c>
      <c r="E1346" t="str">
        <f>HYPERLINK("http://www.intercariforef.org/formations/certification-104011.html","104011")</f>
        <v>104011</v>
      </c>
      <c r="F1346" s="1">
        <v>43392</v>
      </c>
      <c r="G1346" s="1">
        <v>43392</v>
      </c>
    </row>
    <row r="1347">
      <c r="A1347" t="str">
        <v>Ingénierie formation pédagogie</v>
      </c>
      <c r="B1347" t="str">
        <v>Entreprendre, gérer et développer une offre innovante en prestation de service intellectuel</v>
      </c>
      <c r="C1347" t="str">
        <v>Delpicom</v>
      </c>
      <c r="D1347" t="str">
        <f>HYPERLINK("https://inventaire.cncp.gouv.fr/fiches/3371/","3371")</f>
        <v>3371</v>
      </c>
      <c r="E1347" t="str">
        <f>HYPERLINK("http://www.intercariforef.org/formations/certification-100041.html","100041")</f>
        <v>100041</v>
      </c>
      <c r="F1347" s="1">
        <v>43152</v>
      </c>
      <c r="G1347" s="1">
        <v>43152</v>
      </c>
    </row>
    <row r="1348">
      <c r="A1348" t="str">
        <v>Ingénierie formation pédagogie</v>
      </c>
      <c r="B1348" t="str">
        <v>Formateur de personne ressource TMS en entreprise</v>
      </c>
      <c r="C1348" t="str">
        <v>Ministère du travail, Institut national de recherche et de sécurité</v>
      </c>
      <c r="D1348" t="str">
        <f>HYPERLINK("https://inventaire.cncp.gouv.fr/fiches/1261/","1261")</f>
        <v>1261</v>
      </c>
      <c r="E1348" t="str">
        <f>HYPERLINK("http://www.intercariforef.org/formations/certification-85546.html","85546")</f>
        <v>85546</v>
      </c>
      <c r="F1348" s="1">
        <v>42269</v>
      </c>
      <c r="G1348" s="1">
        <v>43125</v>
      </c>
    </row>
    <row r="1349">
      <c r="A1349" t="str">
        <v>Ingénierie formation pédagogie</v>
      </c>
      <c r="B1349" t="str">
        <v>Formation et pédagogie</v>
      </c>
      <c r="C1349" t="str">
        <v>Akor consulting</v>
      </c>
      <c r="D1349" t="str">
        <f>HYPERLINK("https://inventaire.cncp.gouv.fr/fiches/3176/","3176")</f>
        <v>3176</v>
      </c>
      <c r="E1349" t="str">
        <f>HYPERLINK("http://www.intercariforef.org/formations/certification-99169.html","99169")</f>
        <v>99169</v>
      </c>
      <c r="F1349" s="1">
        <v>43076</v>
      </c>
      <c r="G1349" s="1">
        <v>43076</v>
      </c>
    </row>
    <row r="1350">
      <c r="A1350" t="str">
        <v>Ingénierie formation pédagogie</v>
      </c>
      <c r="B1350" t="str">
        <v>Gestion d'un projet de formation blended-learning</v>
      </c>
      <c r="C1350" t="str">
        <v>Institut supérieur des technologies de la formation</v>
      </c>
      <c r="D1350" t="str">
        <f>HYPERLINK("https://inventaire.cncp.gouv.fr/fiches/1368/","1368")</f>
        <v>1368</v>
      </c>
      <c r="E1350" t="str">
        <f>HYPERLINK("http://www.intercariforef.org/formations/certification-86216.html","86216")</f>
        <v>86216</v>
      </c>
      <c r="F1350" s="1">
        <v>42320</v>
      </c>
      <c r="G1350" s="1">
        <v>42320</v>
      </c>
    </row>
    <row r="1351">
      <c r="A1351" t="str">
        <v>Ingénierie formation pédagogie</v>
      </c>
      <c r="B1351" t="str">
        <v>Habilitation CELTA (Certificate in Teaching English to Speakers of Other Languages)</v>
      </c>
      <c r="C1351" t="str">
        <v>University of Cambridge</v>
      </c>
      <c r="D1351" t="str">
        <f>HYPERLINK("https://inventaire.cncp.gouv.fr/fiches/3262/","3262")</f>
        <v>3262</v>
      </c>
      <c r="E1351" t="str">
        <f>HYPERLINK("http://www.intercariforef.org/formations/certification-99057.html","99057")</f>
        <v>99057</v>
      </c>
      <c r="F1351" s="1">
        <v>43069</v>
      </c>
      <c r="G1351" s="1">
        <v>43069</v>
      </c>
    </row>
    <row r="1352">
      <c r="A1352" t="str">
        <v>Ingénierie formation pédagogie</v>
      </c>
      <c r="B1352" t="str">
        <v>Handicap accès et maintien dans l'emploi</v>
      </c>
      <c r="C1352" t="str">
        <v>Conseil national Handicap et Emploi des Organismes de Placement Spécialisés</v>
      </c>
      <c r="D1352" t="str">
        <f>HYPERLINK("https://inventaire.cncp.gouv.fr/fiches/2861/","2861")</f>
        <v>2861</v>
      </c>
      <c r="E1352" t="str">
        <f>HYPERLINK("http://www.intercariforef.org/formations/certification-97065.html","97065")</f>
        <v>97065</v>
      </c>
      <c r="F1352" s="1">
        <v>42977</v>
      </c>
      <c r="G1352" s="1">
        <v>42977</v>
      </c>
    </row>
    <row r="1353" ht="26.2" customHeight="1">
      <c r="A1353" t="str">
        <v>Ingénierie formation pédagogie</v>
      </c>
      <c r="B1353" t="str">
        <v>Maintenir et actualiser ses compétences de formateur en prévention des risques liés à l'amiante. Sous-section 3</v>
      </c>
      <c r="C1353" t="str">
        <v>Ministère du travail, Institut national de recherche et de sécurité</v>
      </c>
      <c r="D1353" t="str">
        <f>HYPERLINK("https://inventaire.cncp.gouv.fr/fiches/1277/","1277")</f>
        <v>1277</v>
      </c>
      <c r="E1353" t="str">
        <f>HYPERLINK("http://www.intercariforef.org/formations/certification-85541.html","85541")</f>
        <v>85541</v>
      </c>
      <c r="F1353" s="1">
        <v>42269</v>
      </c>
      <c r="G1353" s="1">
        <v>43125</v>
      </c>
    </row>
    <row r="1354">
      <c r="A1354" t="str">
        <v>Ingénierie formation pédagogie</v>
      </c>
      <c r="B1354" t="str">
        <v>Maîtrise des techniques de conception et d'animation de formations pour adultes</v>
      </c>
      <c r="C1354" t="str">
        <v>Formalisa</v>
      </c>
      <c r="D1354" t="str">
        <f>HYPERLINK("https://inventaire.cncp.gouv.fr/fiches/1900/","1900")</f>
        <v>1900</v>
      </c>
      <c r="E1354" t="str">
        <f>HYPERLINK("http://www.intercariforef.org/formations/certification-98379.html","98379")</f>
        <v>98379</v>
      </c>
      <c r="F1354" s="1">
        <v>43027</v>
      </c>
      <c r="G1354" s="1">
        <v>43027</v>
      </c>
    </row>
    <row r="1355">
      <c r="A1355" t="str">
        <v>Ingénierie formation pédagogie</v>
      </c>
      <c r="B1355" t="str">
        <v>Management de la formation</v>
      </c>
      <c r="C1355" t="str">
        <v>Cegos</v>
      </c>
      <c r="D1355" t="str">
        <f>HYPERLINK("https://inventaire.cncp.gouv.fr/fiches/3220/","3220")</f>
        <v>3220</v>
      </c>
      <c r="E1355" t="str">
        <f>HYPERLINK("http://www.intercariforef.org/formations/certification-100121.html","100121")</f>
        <v>100121</v>
      </c>
      <c r="F1355" s="1">
        <v>43153</v>
      </c>
      <c r="G1355" s="1">
        <v>43153</v>
      </c>
    </row>
    <row r="1356">
      <c r="A1356" t="str">
        <v>Ingénierie formation pédagogie</v>
      </c>
      <c r="B1356" t="str">
        <v>Pilote des Parcours d'Insertion / Méthode MAPPI</v>
      </c>
      <c r="C1356" t="str">
        <v>B2c Projet</v>
      </c>
      <c r="D1356" t="str">
        <f>HYPERLINK("https://inventaire.cncp.gouv.fr/fiches/2761/","2761")</f>
        <v>2761</v>
      </c>
      <c r="E1356" t="str">
        <f>HYPERLINK("http://www.intercariforef.org/formations/certification-95431.html","95431")</f>
        <v>95431</v>
      </c>
      <c r="F1356" s="1">
        <v>42884</v>
      </c>
      <c r="G1356" s="1">
        <v>42884</v>
      </c>
    </row>
    <row r="1357">
      <c r="A1357" t="str">
        <v>Ingénierie formation pédagogie</v>
      </c>
      <c r="B1357" t="str">
        <v>Piloter la formation professionnelle en entreprise : le plan de formation et sa mise en oeuvre</v>
      </c>
      <c r="C1357" t="str">
        <v>DEMOS</v>
      </c>
      <c r="D1357" t="str">
        <f>HYPERLINK("https://inventaire.cncp.gouv.fr/fiches/3170/","3170")</f>
        <v>3170</v>
      </c>
      <c r="E1357" t="str">
        <f>HYPERLINK("http://www.intercariforef.org/formations/certification-99157.html","99157")</f>
        <v>99157</v>
      </c>
      <c r="F1357" s="1">
        <v>43076</v>
      </c>
      <c r="G1357" s="1">
        <v>43076</v>
      </c>
    </row>
    <row r="1358">
      <c r="A1358" t="str">
        <v>Ingénierie formation pédagogie</v>
      </c>
      <c r="B1358" t="str">
        <v>Tuteur : menez à bien vos missions de tutorat</v>
      </c>
      <c r="C1358" t="str">
        <v>Communication Structure Perfectionnement (CSP - The Art of Training)</v>
      </c>
      <c r="D1358" t="str">
        <f>HYPERLINK("https://inventaire.cncp.gouv.fr/fiches/3222/","3222")</f>
        <v>3222</v>
      </c>
      <c r="E1358" t="str">
        <f>HYPERLINK("http://www.intercariforef.org/formations/certification-100119.html","100119")</f>
        <v>100119</v>
      </c>
      <c r="F1358" s="1">
        <v>43153</v>
      </c>
      <c r="G1358" s="1">
        <v>43153</v>
      </c>
    </row>
    <row r="1359" ht="26.2" customHeight="1">
      <c r="A1359" t="str">
        <v>Ingénierie formation pédagogie</v>
      </c>
      <c r="B1359" t="str">
        <v>Tutorat en entreprise</v>
      </c>
      <c r="C1359" t="str">
        <v>CPNE de la métallurgie, CPNE de l'industrie textile, CPNE de l'intersecteurs papiers-cartons, CPNE des industries de l'habillement</v>
      </c>
      <c r="D1359" t="str">
        <f>HYPERLINK("https://inventaire.cncp.gouv.fr/fiches/2094/","2094")</f>
        <v>2094</v>
      </c>
      <c r="E1359" t="str">
        <f>HYPERLINK("http://www.intercariforef.org/formations/certification-89177.html","89177")</f>
        <v>89177</v>
      </c>
      <c r="F1359" s="1">
        <v>42521</v>
      </c>
      <c r="G1359" s="1">
        <v>42521</v>
      </c>
    </row>
    <row r="1360">
      <c r="A1360" t="str">
        <v>Langues</v>
      </c>
      <c r="B1360" t="str">
        <v>Anglais technique simplifié pour l'aéronautique</v>
      </c>
      <c r="C1360" t="str">
        <v>Bright Language</v>
      </c>
      <c r="D1360" t="str">
        <f>HYPERLINK("https://inventaire.cncp.gouv.fr/fiches/3642/","3642")</f>
        <v>3642</v>
      </c>
      <c r="E1360" t="str">
        <f>HYPERLINK("http://www.intercariforef.org/formations/certification-101145.html","101145")</f>
        <v>101145</v>
      </c>
      <c r="F1360" s="1">
        <v>43250</v>
      </c>
      <c r="G1360" s="1">
        <v>43250</v>
      </c>
    </row>
    <row r="1361">
      <c r="A1361" t="str">
        <v>Langues</v>
      </c>
      <c r="B1361" t="str">
        <v>B1 Euskara Agiria (B1EA) : Certificat de compétence en langue basque niveau B1</v>
      </c>
      <c r="C1361" t="str">
        <v>Office Public de la Langue Basque, Université Pau et des Pays de L'Adour</v>
      </c>
      <c r="D1361" t="str">
        <f>HYPERLINK("https://inventaire.cncp.gouv.fr/fiches/1352/","1352")</f>
        <v>1352</v>
      </c>
      <c r="E1361" t="str">
        <f>HYPERLINK("http://www.intercariforef.org/formations/certification-86210.html","86210")</f>
        <v>86210</v>
      </c>
      <c r="F1361" s="1">
        <v>42320</v>
      </c>
      <c r="G1361" s="1">
        <v>42403</v>
      </c>
    </row>
    <row r="1362" ht="26.2" customHeight="1">
      <c r="A1362" t="str">
        <v>Langues</v>
      </c>
      <c r="B1362" t="str">
        <v>BLISS (Bright Language International Speaking Solution) Anglais, Allemand, Espagnol, Français, Italien</v>
      </c>
      <c r="C1362" t="str">
        <v>Bright Language</v>
      </c>
      <c r="D1362" t="str">
        <f>HYPERLINK("https://inventaire.cncp.gouv.fr/fiches/4031/","4031")</f>
        <v>4031</v>
      </c>
      <c r="E1362" t="str">
        <f>HYPERLINK("http://www.intercariforef.org/formations/certification-103913.html","103913")</f>
        <v>103913</v>
      </c>
      <c r="F1362" s="1">
        <v>43390</v>
      </c>
      <c r="G1362" s="1">
        <v>43390</v>
      </c>
    </row>
    <row r="1363">
      <c r="A1363" t="str">
        <v>Langues</v>
      </c>
      <c r="B1363" t="str">
        <v>BULATS - Linguaskill</v>
      </c>
      <c r="C1363" t="str">
        <v>University of Cambridge</v>
      </c>
      <c r="D1363" t="str">
        <f>HYPERLINK("https://inventaire.cncp.gouv.fr/fiches/101/","101")</f>
        <v>101</v>
      </c>
      <c r="E1363" t="str">
        <f>HYPERLINK("http://www.intercariforef.org/formations/certification-84165.html","84165")</f>
        <v>84165</v>
      </c>
      <c r="F1363" s="1">
        <v>42053</v>
      </c>
      <c r="G1363" s="1">
        <v>42758</v>
      </c>
    </row>
    <row r="1364">
      <c r="A1364" t="str">
        <v>Langues</v>
      </c>
      <c r="B1364" t="str">
        <v>Business English Skills Test (BEST)</v>
      </c>
      <c r="C1364" t="str">
        <v>Chambre de commerce franco-britannique</v>
      </c>
      <c r="D1364" t="str">
        <f>HYPERLINK("https://inventaire.cncp.gouv.fr/fiches/535/","535")</f>
        <v>535</v>
      </c>
      <c r="E1364" t="str">
        <f>HYPERLINK("http://www.intercariforef.org/formations/certification-84734.html","84734")</f>
        <v>84734</v>
      </c>
      <c r="F1364" s="1">
        <v>42156</v>
      </c>
      <c r="G1364" s="1">
        <v>42156</v>
      </c>
    </row>
    <row r="1365">
      <c r="A1365" t="str">
        <v>Langues</v>
      </c>
      <c r="B1365" t="str">
        <v>Cambridge English Advanced (CAE) - C1</v>
      </c>
      <c r="C1365" t="str">
        <v>University of Cambridge</v>
      </c>
      <c r="D1365" t="str">
        <f>HYPERLINK("https://inventaire.cncp.gouv.fr/fiches/2958/","2958")</f>
        <v>2958</v>
      </c>
      <c r="E1365" t="str">
        <f>HYPERLINK("http://www.intercariforef.org/formations/certification-98623.html","98623")</f>
        <v>98623</v>
      </c>
      <c r="F1365" s="1">
        <v>43038</v>
      </c>
      <c r="G1365" s="1">
        <v>43038</v>
      </c>
    </row>
    <row r="1366">
      <c r="A1366" t="str">
        <v>Langues</v>
      </c>
      <c r="B1366" t="str">
        <v>Cambridge English Business Certificates - BEC Higher</v>
      </c>
      <c r="C1366" t="str">
        <v>University of Cambridge</v>
      </c>
      <c r="D1366" t="str">
        <f>HYPERLINK("https://inventaire.cncp.gouv.fr/fiches/1235/","1235")</f>
        <v>1235</v>
      </c>
      <c r="E1366" t="str">
        <f>HYPERLINK("http://www.intercariforef.org/formations/certification-85484.html","85484")</f>
        <v>85484</v>
      </c>
      <c r="F1366" s="1">
        <v>42264</v>
      </c>
      <c r="G1366" s="1">
        <v>42264</v>
      </c>
    </row>
    <row r="1367">
      <c r="A1367" t="str">
        <v>Langues</v>
      </c>
      <c r="B1367" t="str">
        <v>Cambridge English Business Certificates - BEC Preliminary</v>
      </c>
      <c r="C1367" t="str">
        <v>University of Cambridge</v>
      </c>
      <c r="D1367" t="str">
        <f>HYPERLINK("https://inventaire.cncp.gouv.fr/fiches/1235/","1235")</f>
        <v>1235</v>
      </c>
      <c r="E1367" t="str">
        <f>HYPERLINK("http://www.intercariforef.org/formations/certification-85467.html","85467")</f>
        <v>85467</v>
      </c>
      <c r="F1367" s="1">
        <v>42264</v>
      </c>
      <c r="G1367" s="1">
        <v>42264</v>
      </c>
    </row>
    <row r="1368">
      <c r="A1368" t="str">
        <v>Langues</v>
      </c>
      <c r="B1368" t="str">
        <v>Cambridge English Business Certificates - BEC Vantage</v>
      </c>
      <c r="C1368" t="str">
        <v>University of Cambridge</v>
      </c>
      <c r="D1368" t="str">
        <f>HYPERLINK("https://inventaire.cncp.gouv.fr/fiches/1235/","1235")</f>
        <v>1235</v>
      </c>
      <c r="E1368" t="str">
        <f>HYPERLINK("http://www.intercariforef.org/formations/certification-85475.html","85475")</f>
        <v>85475</v>
      </c>
      <c r="F1368" s="1">
        <v>42264</v>
      </c>
      <c r="G1368" s="1">
        <v>42264</v>
      </c>
    </row>
    <row r="1369">
      <c r="A1369" t="str">
        <v>Langues</v>
      </c>
      <c r="B1369" t="str">
        <v>Cambridge English First (FCE) - B2</v>
      </c>
      <c r="C1369" t="str">
        <v>University of Cambridge</v>
      </c>
      <c r="D1369" t="str">
        <f>HYPERLINK("https://inventaire.cncp.gouv.fr/fiches/2957/","2957")</f>
        <v>2957</v>
      </c>
      <c r="E1369" t="str">
        <f>HYPERLINK("http://www.intercariforef.org/formations/certification-98625.html","98625")</f>
        <v>98625</v>
      </c>
      <c r="F1369" s="1">
        <v>43038</v>
      </c>
      <c r="G1369" s="1">
        <v>43038</v>
      </c>
    </row>
    <row r="1370">
      <c r="A1370" t="str">
        <v>Langues</v>
      </c>
      <c r="B1370" t="str">
        <v>Cambridge English Proficiency (CPE) - C2</v>
      </c>
      <c r="C1370" t="str">
        <v>University of Cambridge</v>
      </c>
      <c r="D1370" t="str">
        <f>HYPERLINK("https://inventaire.cncp.gouv.fr/fiches/2959/","2959")</f>
        <v>2959</v>
      </c>
      <c r="E1370" t="str">
        <f>HYPERLINK("http://www.intercariforef.org/formations/certification-98621.html","98621")</f>
        <v>98621</v>
      </c>
      <c r="F1370" s="1">
        <v>43038</v>
      </c>
      <c r="G1370" s="1">
        <v>43038</v>
      </c>
    </row>
    <row r="1371" ht="26.2" customHeight="1">
      <c r="A1371" t="str">
        <v>Langues</v>
      </c>
      <c r="B1371" t="str">
        <v>CeLP - Certificate of Language Proficiency - (Certificat de niveau de compétences en langues) YES 'N' YOU</v>
      </c>
      <c r="C1371" t="str">
        <v>T¿oeV Rheinland, Yes 'N' You</v>
      </c>
      <c r="D1371" t="str">
        <f>HYPERLINK("https://inventaire.cncp.gouv.fr/fiches/1350/","1350")</f>
        <v>1350</v>
      </c>
      <c r="E1371" t="str">
        <f>HYPERLINK("http://www.intercariforef.org/formations/certification-86327.html","86327")</f>
        <v>86327</v>
      </c>
      <c r="F1371" s="1">
        <v>42338</v>
      </c>
      <c r="G1371" s="1">
        <v>42418</v>
      </c>
    </row>
    <row r="1372">
      <c r="A1372" t="str">
        <v>Langues</v>
      </c>
      <c r="B1372" t="str">
        <v>Certificat de compétences en anglais - Certificate of Professional English Skills (CPES)</v>
      </c>
      <c r="C1372" t="str">
        <v>Gofluent</v>
      </c>
      <c r="D1372" t="str">
        <f>HYPERLINK("https://inventaire.cncp.gouv.fr/fiches/3271/","3271")</f>
        <v>3271</v>
      </c>
      <c r="E1372" t="str">
        <f>HYPERLINK("http://www.intercariforef.org/formations/certification-101199.html","101199")</f>
        <v>101199</v>
      </c>
      <c r="F1372" s="1">
        <v>43250</v>
      </c>
      <c r="G1372" s="1">
        <v>43250</v>
      </c>
    </row>
    <row r="1373">
      <c r="A1373" t="str">
        <v>Langues</v>
      </c>
      <c r="B1373" t="str">
        <v>Certificat de Compétences en Langue des Signes Française - Langue Seconde - Niveau A1</v>
      </c>
      <c r="C1373" t="str">
        <v>Visuel - Langue des Signes Française</v>
      </c>
      <c r="D1373" t="str">
        <f>HYPERLINK("https://inventaire.cncp.gouv.fr/fiches/1409/","1409")</f>
        <v>1409</v>
      </c>
      <c r="E1373" t="str">
        <f>HYPERLINK("http://www.intercariforef.org/formations/certification-91913.html","91913")</f>
        <v>91913</v>
      </c>
      <c r="F1373" s="1">
        <v>42662</v>
      </c>
      <c r="G1373" s="1">
        <v>42662</v>
      </c>
    </row>
    <row r="1374">
      <c r="A1374" t="str">
        <v>Langues</v>
      </c>
      <c r="B1374" t="str">
        <v>Certificat de Compétences en Langue des Signes Française - Langue Seconde - Niveau A2</v>
      </c>
      <c r="C1374" t="str">
        <v>Visuel - Langue des Signes Française</v>
      </c>
      <c r="D1374" t="str">
        <f>HYPERLINK("https://inventaire.cncp.gouv.fr/fiches/2134/","2134")</f>
        <v>2134</v>
      </c>
      <c r="E1374" t="str">
        <f>HYPERLINK("http://www.intercariforef.org/formations/certification-91905.html","91905")</f>
        <v>91905</v>
      </c>
      <c r="F1374" s="1">
        <v>42662</v>
      </c>
      <c r="G1374" s="1">
        <v>42872</v>
      </c>
    </row>
    <row r="1375">
      <c r="A1375" t="str">
        <v>Langues</v>
      </c>
      <c r="B1375" t="str">
        <v>Certificat de Compétences en Langue des Signes Française - Langue Seconde - Niveau B1</v>
      </c>
      <c r="C1375" t="str">
        <v>Visuel - Langue des Signes Française</v>
      </c>
      <c r="D1375" t="str">
        <f>HYPERLINK("https://inventaire.cncp.gouv.fr/fiches/2136/","2136")</f>
        <v>2136</v>
      </c>
      <c r="E1375" t="str">
        <f>HYPERLINK("http://www.intercariforef.org/formations/certification-91901.html","91901")</f>
        <v>91901</v>
      </c>
      <c r="F1375" s="1">
        <v>42662</v>
      </c>
      <c r="G1375" s="1">
        <v>42872</v>
      </c>
    </row>
    <row r="1376">
      <c r="A1376" t="str">
        <v>Langues</v>
      </c>
      <c r="B1376" t="str">
        <v>Certificat de Compétences en Langue des Signes Française - Langue Seconde - Niveau B2</v>
      </c>
      <c r="C1376" t="str">
        <v>Visuel - Langue des Signes Française</v>
      </c>
      <c r="D1376" t="str">
        <f>HYPERLINK("https://inventaire.cncp.gouv.fr/fiches/2135/","2135")</f>
        <v>2135</v>
      </c>
      <c r="E1376" t="str">
        <f>HYPERLINK("http://www.intercariforef.org/formations/certification-91903.html","91903")</f>
        <v>91903</v>
      </c>
      <c r="F1376" s="1">
        <v>42662</v>
      </c>
      <c r="G1376" s="1">
        <v>42872</v>
      </c>
    </row>
    <row r="1377">
      <c r="A1377" t="str">
        <v>Langues</v>
      </c>
      <c r="B1377" t="str">
        <v>Certificat de Langue des Signes Française Appliquée - Niveau A1</v>
      </c>
      <c r="C1377" t="str">
        <v>Steum</v>
      </c>
      <c r="D1377" t="str">
        <f>HYPERLINK("https://inventaire.cncp.gouv.fr/fiches/4088/","4088")</f>
        <v>4088</v>
      </c>
      <c r="E1377" t="str">
        <f>HYPERLINK("http://www.intercariforef.org/formations/certification-103911.html","103911")</f>
        <v>103911</v>
      </c>
      <c r="F1377" s="1">
        <v>43390</v>
      </c>
      <c r="G1377" s="1">
        <v>43390</v>
      </c>
    </row>
    <row r="1378">
      <c r="A1378" t="str">
        <v>Langues</v>
      </c>
      <c r="B1378" t="str">
        <v>Certificat de Langue des Signes Française Appliquée - Niveau A2</v>
      </c>
      <c r="C1378" t="str">
        <v>Steum</v>
      </c>
      <c r="D1378" t="str">
        <f>HYPERLINK("https://inventaire.cncp.gouv.fr/fiches/4089/","4089")</f>
        <v>4089</v>
      </c>
      <c r="E1378" t="str">
        <f>HYPERLINK("http://www.intercariforef.org/formations/certification-103909.html","103909")</f>
        <v>103909</v>
      </c>
      <c r="F1378" s="1">
        <v>43390</v>
      </c>
      <c r="G1378" s="1">
        <v>43390</v>
      </c>
    </row>
    <row r="1379">
      <c r="A1379" t="str">
        <v>Langues</v>
      </c>
      <c r="B1379" t="str">
        <v>Certificat de Langue des Signes Française Appliquée - Niveau B1</v>
      </c>
      <c r="C1379" t="str">
        <v>Steum</v>
      </c>
      <c r="D1379" t="str">
        <f>HYPERLINK("https://inventaire.cncp.gouv.fr/fiches/4090/","4090")</f>
        <v>4090</v>
      </c>
      <c r="E1379" t="str">
        <f>HYPERLINK("http://www.intercariforef.org/formations/certification-103907.html","103907")</f>
        <v>103907</v>
      </c>
      <c r="F1379" s="1">
        <v>43390</v>
      </c>
      <c r="G1379" s="1">
        <v>43390</v>
      </c>
    </row>
    <row r="1380">
      <c r="A1380" t="str">
        <v>Langues</v>
      </c>
      <c r="B1380" t="str">
        <v>Certificat de Langue des Signes Française Appliquée - Niveau B2</v>
      </c>
      <c r="C1380" t="str">
        <v>Steum</v>
      </c>
      <c r="D1380" t="str">
        <f>HYPERLINK("https://inventaire.cncp.gouv.fr/fiches/4091/","4091")</f>
        <v>4091</v>
      </c>
      <c r="E1380" t="str">
        <f>HYPERLINK("http://www.intercariforef.org/formations/certification-103905.html","103905")</f>
        <v>103905</v>
      </c>
      <c r="F1380" s="1">
        <v>43390</v>
      </c>
      <c r="G1380" s="1">
        <v>43390</v>
      </c>
    </row>
    <row r="1381">
      <c r="A1381" t="str">
        <v>Langues</v>
      </c>
      <c r="B1381" t="str">
        <v>Certificat de Langue des Signes Française Appliquée - Niveau C1</v>
      </c>
      <c r="C1381" t="str">
        <v>Steum</v>
      </c>
      <c r="D1381" t="str">
        <f>HYPERLINK("https://inventaire.cncp.gouv.fr/fiches/4092/","4092")</f>
        <v>4092</v>
      </c>
      <c r="E1381" t="str">
        <f>HYPERLINK("http://www.intercariforef.org/formations/certification-103903.html","103903")</f>
        <v>103903</v>
      </c>
      <c r="F1381" s="1">
        <v>43390</v>
      </c>
      <c r="G1381" s="1">
        <v>43390</v>
      </c>
    </row>
    <row r="1382">
      <c r="A1382" t="str">
        <v>Langues</v>
      </c>
      <c r="B1382" t="str">
        <v>Certificat d'espagnol SIELE</v>
      </c>
      <c r="C1382" t="str">
        <v>Centre culturel de promotion de la langue et de la culture en espagnol - Instituto Cervantes</v>
      </c>
      <c r="D1382" t="str">
        <f>HYPERLINK("https://inventaire.cncp.gouv.fr/fiches/3041/","3041")</f>
        <v>3041</v>
      </c>
      <c r="E1382" t="str">
        <f>HYPERLINK("http://www.intercariforef.org/formations/certification-98509.html","98509")</f>
        <v>98509</v>
      </c>
      <c r="F1382" s="1">
        <v>43033</v>
      </c>
      <c r="G1382" s="1">
        <v>43033</v>
      </c>
    </row>
    <row r="1383">
      <c r="A1383" t="str">
        <v>Langues</v>
      </c>
      <c r="B1383" t="str">
        <v>Certification / formation professionnelle à l'anglais GYMGLISH</v>
      </c>
      <c r="C1383" t="str">
        <v>GYMGLISH</v>
      </c>
      <c r="D1383" t="str">
        <f>HYPERLINK("https://inventaire.cncp.gouv.fr/fiches/15/","15")</f>
        <v>15</v>
      </c>
      <c r="E1383" t="str">
        <f>HYPERLINK("http://www.intercariforef.org/formations/certification-84528.html","84528")</f>
        <v>84528</v>
      </c>
      <c r="F1383" s="1">
        <v>42114</v>
      </c>
      <c r="G1383" s="1">
        <v>42114</v>
      </c>
    </row>
    <row r="1384">
      <c r="A1384" t="str">
        <v>Langues</v>
      </c>
      <c r="B1384" t="str">
        <v>Certification d'anglais général et professionnel - Test CECR</v>
      </c>
      <c r="C1384" t="str">
        <v>Altissia</v>
      </c>
      <c r="D1384" t="str">
        <f>HYPERLINK("https://inventaire.cncp.gouv.fr/fiches/3330/","3330")</f>
        <v>3330</v>
      </c>
      <c r="E1384" t="str">
        <f>HYPERLINK("http://www.intercariforef.org/formations/certification-100397.html","100397")</f>
        <v>100397</v>
      </c>
      <c r="F1384" s="1">
        <v>43173</v>
      </c>
      <c r="G1384" s="1">
        <v>43173</v>
      </c>
    </row>
    <row r="1385">
      <c r="A1385" t="str">
        <v>Langues</v>
      </c>
      <c r="B1385" t="str">
        <v>Certification en langue française Le Robert</v>
      </c>
      <c r="C1385" t="str">
        <v>Zeugmo</v>
      </c>
      <c r="D1385" t="str">
        <f>HYPERLINK("https://inventaire.cncp.gouv.fr/fiches/2165/","2165")</f>
        <v>2165</v>
      </c>
      <c r="E1385" t="str">
        <f>HYPERLINK("http://www.intercariforef.org/formations/certification-89181.html","89181")</f>
        <v>89181</v>
      </c>
      <c r="F1385" s="1">
        <v>42521</v>
      </c>
      <c r="G1385" s="1">
        <v>42521</v>
      </c>
    </row>
    <row r="1386">
      <c r="A1386" t="str">
        <v>Langues</v>
      </c>
      <c r="B1386" t="str">
        <v>Certification Français Operandi Nettoyage-Propreté</v>
      </c>
      <c r="C1386" t="str">
        <v>Chambre de commerce et d'industrie de Paris</v>
      </c>
      <c r="D1386" t="str">
        <f>HYPERLINK("https://inventaire.cncp.gouv.fr/fiches/3214/","3214")</f>
        <v>3214</v>
      </c>
      <c r="E1386" t="str">
        <f>HYPERLINK("http://www.intercariforef.org/formations/certification-98511.html","98511")</f>
        <v>98511</v>
      </c>
      <c r="F1386" s="1">
        <v>43033</v>
      </c>
      <c r="G1386" s="1">
        <v>43033</v>
      </c>
    </row>
    <row r="1387">
      <c r="A1387" t="str">
        <v>Langues</v>
      </c>
      <c r="B1387" t="str">
        <v>Certification professionnelle en langue Pipplet FLEX</v>
      </c>
      <c r="C1387" t="str">
        <v>Pipplet</v>
      </c>
      <c r="D1387" t="str">
        <f>HYPERLINK("https://inventaire.cncp.gouv.fr/fiches/2634/","2634")</f>
        <v>2634</v>
      </c>
      <c r="E1387" t="str">
        <f>HYPERLINK("http://www.intercariforef.org/formations/certification-95455.html","95455")</f>
        <v>95455</v>
      </c>
      <c r="F1387" s="1">
        <v>42884</v>
      </c>
      <c r="G1387" s="1">
        <v>43279</v>
      </c>
    </row>
    <row r="1388">
      <c r="A1388" t="str">
        <v>Langues</v>
      </c>
      <c r="B1388" t="str">
        <v>Compétences linguistiques</v>
      </c>
      <c r="C1388" t="str">
        <v>Ministère de la transition écologique et solidaire</v>
      </c>
      <c r="D1388" t="str">
        <f>HYPERLINK("https://inventaire.cncp.gouv.fr/fiches/484/","484")</f>
        <v>484</v>
      </c>
      <c r="E1388" t="str">
        <f>HYPERLINK("http://www.intercariforef.org/formations/certification-84699.html","84699")</f>
        <v>84699</v>
      </c>
      <c r="F1388" s="1">
        <v>42156</v>
      </c>
      <c r="G1388" s="1">
        <v>43111</v>
      </c>
    </row>
    <row r="1389">
      <c r="A1389" t="str">
        <v>Langues</v>
      </c>
      <c r="B1389" t="str">
        <v>Diplôme approfondi de langue française (DALF) C1</v>
      </c>
      <c r="C1389" t="str">
        <v>Ministère de l'éducation nationale</v>
      </c>
      <c r="D1389" t="str">
        <f>HYPERLINK("https://inventaire.cncp.gouv.fr/fiches/1700/","1700")</f>
        <v>1700</v>
      </c>
      <c r="E1389" t="str">
        <f>HYPERLINK("http://www.intercariforef.org/formations/certification-55892.html","55892")</f>
        <v>55892</v>
      </c>
      <c r="F1389" s="1">
        <v>33774</v>
      </c>
      <c r="G1389" s="1">
        <v>42488</v>
      </c>
    </row>
    <row r="1390">
      <c r="A1390" t="str">
        <v>Langues</v>
      </c>
      <c r="B1390" t="str">
        <v>Diplôme approfondi de langue française (DALF) C2</v>
      </c>
      <c r="C1390" t="str">
        <v>Ministère de l'éducation nationale</v>
      </c>
      <c r="D1390" t="str">
        <f>HYPERLINK("https://inventaire.cncp.gouv.fr/fiches/1701/","1701")</f>
        <v>1701</v>
      </c>
      <c r="E1390" t="str">
        <f>HYPERLINK("http://www.intercariforef.org/formations/certification-55893.html","55893")</f>
        <v>55893</v>
      </c>
      <c r="F1390" s="1">
        <v>33774</v>
      </c>
      <c r="G1390" s="1">
        <v>42488</v>
      </c>
    </row>
    <row r="1391">
      <c r="A1391" t="str">
        <v>Langues</v>
      </c>
      <c r="B1391" t="str">
        <v>Diplôme de compétence en langue breton</v>
      </c>
      <c r="C1391" t="str">
        <v>Ministère de l'éducation nationale</v>
      </c>
      <c r="D1391" t="str">
        <f>HYPERLINK("https://inventaire.cncp.gouv.fr/fiches/618/","618")</f>
        <v>618</v>
      </c>
      <c r="E1391" t="str">
        <f>HYPERLINK("http://www.intercariforef.org/formations/certification-84633.html","84633")</f>
        <v>84633</v>
      </c>
      <c r="F1391" s="1">
        <v>42145</v>
      </c>
      <c r="G1391" s="1">
        <v>42830</v>
      </c>
    </row>
    <row r="1392">
      <c r="A1392" t="str">
        <v>Langues</v>
      </c>
      <c r="B1392" t="str">
        <v>Diplôme de compétence en langue des signes française</v>
      </c>
      <c r="C1392" t="str">
        <v>Ministère de l'éducation nationale</v>
      </c>
      <c r="D1392" t="str">
        <f>HYPERLINK("https://inventaire.cncp.gouv.fr/fiches/617/","617")</f>
        <v>617</v>
      </c>
      <c r="E1392" t="str">
        <f>HYPERLINK("http://www.intercariforef.org/formations/certification-72753.html","72753")</f>
        <v>72753</v>
      </c>
      <c r="F1392" s="1">
        <v>40547</v>
      </c>
      <c r="G1392" s="1">
        <v>42830</v>
      </c>
    </row>
    <row r="1393">
      <c r="A1393" t="str">
        <v>Langues</v>
      </c>
      <c r="B1393" t="str">
        <v>Diplôme de compétence en langue étrangère professionnelle allemand</v>
      </c>
      <c r="C1393" t="str">
        <v>Ministère de l'éducation nationale</v>
      </c>
      <c r="D1393" t="str">
        <f>HYPERLINK("https://inventaire.cncp.gouv.fr/fiches/587/","587")</f>
        <v>587</v>
      </c>
      <c r="E1393" t="str">
        <f>HYPERLINK("http://www.intercariforef.org/formations/certification-68834.html","68834")</f>
        <v>68834</v>
      </c>
      <c r="F1393" s="1">
        <v>40309</v>
      </c>
      <c r="G1393" s="1">
        <v>42830</v>
      </c>
    </row>
    <row r="1394">
      <c r="A1394" t="str">
        <v>Langues</v>
      </c>
      <c r="B1394" t="str">
        <v>Diplôme de compétence en langue étrangère professionnelle anglais</v>
      </c>
      <c r="C1394" t="str">
        <v>Ministère de l'éducation nationale</v>
      </c>
      <c r="D1394" t="str">
        <f>HYPERLINK("https://inventaire.cncp.gouv.fr/fiches/46/","46")</f>
        <v>46</v>
      </c>
      <c r="E1394" t="str">
        <f>HYPERLINK("http://www.intercariforef.org/formations/certification-68833.html","68833")</f>
        <v>68833</v>
      </c>
      <c r="F1394" s="1">
        <v>40309</v>
      </c>
      <c r="G1394" s="1">
        <v>42830</v>
      </c>
    </row>
    <row r="1395">
      <c r="A1395" t="str">
        <v>Langues</v>
      </c>
      <c r="B1395" t="str">
        <v>Diplôme de compétence en langue étrangère professionnelle arabe</v>
      </c>
      <c r="C1395" t="str">
        <v>Ministère de l'éducation nationale</v>
      </c>
      <c r="D1395" t="str">
        <f>HYPERLINK("https://inventaire.cncp.gouv.fr/fiches/589/","589")</f>
        <v>589</v>
      </c>
      <c r="E1395" t="str">
        <f>HYPERLINK("http://www.intercariforef.org/formations/certification-68835.html","68835")</f>
        <v>68835</v>
      </c>
      <c r="F1395" s="1">
        <v>40309</v>
      </c>
      <c r="G1395" s="1">
        <v>42830</v>
      </c>
    </row>
    <row r="1396">
      <c r="A1396" t="str">
        <v>Langues</v>
      </c>
      <c r="B1396" t="str">
        <v>Diplôme de compétence en langue étrangère professionnelle chinois</v>
      </c>
      <c r="C1396" t="str">
        <v>Ministère de l'éducation nationale</v>
      </c>
      <c r="D1396" t="str">
        <f>HYPERLINK("https://inventaire.cncp.gouv.fr/fiches/590/","590")</f>
        <v>590</v>
      </c>
      <c r="E1396" t="str">
        <f>HYPERLINK("http://www.intercariforef.org/formations/certification-68837.html","68837")</f>
        <v>68837</v>
      </c>
      <c r="F1396" s="1">
        <v>40309</v>
      </c>
      <c r="G1396" s="1">
        <v>42830</v>
      </c>
    </row>
    <row r="1397">
      <c r="A1397" t="str">
        <v>Langues</v>
      </c>
      <c r="B1397" t="str">
        <v>Diplôme de compétence en langue étrangère professionnelle espagnol</v>
      </c>
      <c r="C1397" t="str">
        <v>Ministère de l'éducation nationale</v>
      </c>
      <c r="D1397" t="str">
        <f>HYPERLINK("https://inventaire.cncp.gouv.fr/fiches/591/","591")</f>
        <v>591</v>
      </c>
      <c r="E1397" t="str">
        <f>HYPERLINK("http://www.intercariforef.org/formations/certification-68838.html","68838")</f>
        <v>68838</v>
      </c>
      <c r="F1397" s="1">
        <v>40309</v>
      </c>
      <c r="G1397" s="1">
        <v>42830</v>
      </c>
    </row>
    <row r="1398">
      <c r="A1398" t="str">
        <v>Langues</v>
      </c>
      <c r="B1398" t="str">
        <v>Diplôme de compétence en langue étrangère professionnelle français langue étrangère</v>
      </c>
      <c r="C1398" t="str">
        <v>Ministère de l'éducation nationale</v>
      </c>
      <c r="D1398" t="str">
        <f>HYPERLINK("https://inventaire.cncp.gouv.fr/fiches/593/","593")</f>
        <v>593</v>
      </c>
      <c r="E1398" t="str">
        <f>HYPERLINK("http://www.intercariforef.org/formations/certification-68844.html","68844")</f>
        <v>68844</v>
      </c>
      <c r="F1398" s="1">
        <v>40309</v>
      </c>
      <c r="G1398" s="1">
        <v>42830</v>
      </c>
    </row>
    <row r="1399">
      <c r="A1399" t="str">
        <v>Langues</v>
      </c>
      <c r="B1399" t="str">
        <v>Diplôme de compétence en langue étrangère professionnelle italien</v>
      </c>
      <c r="C1399" t="str">
        <v>Ministère de l'éducation nationale</v>
      </c>
      <c r="D1399" t="str">
        <f>HYPERLINK("https://inventaire.cncp.gouv.fr/fiches/598/","598")</f>
        <v>598</v>
      </c>
      <c r="E1399" t="str">
        <f>HYPERLINK("http://www.intercariforef.org/formations/certification-68839.html","68839")</f>
        <v>68839</v>
      </c>
      <c r="F1399" s="1">
        <v>40309</v>
      </c>
      <c r="G1399" s="1">
        <v>42830</v>
      </c>
    </row>
    <row r="1400">
      <c r="A1400" t="str">
        <v>Langues</v>
      </c>
      <c r="B1400" t="str">
        <v>Diplôme de compétence en langue étrangère professionnelle portugais</v>
      </c>
      <c r="C1400" t="str">
        <v>Ministère de l'éducation nationale</v>
      </c>
      <c r="D1400" t="str">
        <f>HYPERLINK("https://inventaire.cncp.gouv.fr/fiches/602/","602")</f>
        <v>602</v>
      </c>
      <c r="E1400" t="str">
        <f>HYPERLINK("http://www.intercariforef.org/formations/certification-68841.html","68841")</f>
        <v>68841</v>
      </c>
      <c r="F1400" s="1">
        <v>40309</v>
      </c>
      <c r="G1400" s="1">
        <v>42830</v>
      </c>
    </row>
    <row r="1401">
      <c r="A1401" t="str">
        <v>Langues</v>
      </c>
      <c r="B1401" t="str">
        <v>Diplôme de compétence en langue étrangère professionnelle russe</v>
      </c>
      <c r="C1401" t="str">
        <v>Ministère de l'éducation nationale</v>
      </c>
      <c r="D1401" t="str">
        <f>HYPERLINK("https://inventaire.cncp.gouv.fr/fiches/603/","603")</f>
        <v>603</v>
      </c>
      <c r="E1401" t="str">
        <f>HYPERLINK("http://www.intercariforef.org/formations/certification-68843.html","68843")</f>
        <v>68843</v>
      </c>
      <c r="F1401" s="1">
        <v>40309</v>
      </c>
      <c r="G1401" s="1">
        <v>42830</v>
      </c>
    </row>
    <row r="1402">
      <c r="A1402" t="str">
        <v>Langues</v>
      </c>
      <c r="B1402" t="str">
        <v>Diplôme de compétence en langue occitan</v>
      </c>
      <c r="C1402" t="str">
        <v>Ministère de l'éducation nationale</v>
      </c>
      <c r="D1402" t="str">
        <f>HYPERLINK("https://inventaire.cncp.gouv.fr/fiches/619/","619")</f>
        <v>619</v>
      </c>
      <c r="E1402" t="str">
        <f>HYPERLINK("http://www.intercariforef.org/formations/certification-84632.html","84632")</f>
        <v>84632</v>
      </c>
      <c r="F1402" s="1">
        <v>42145</v>
      </c>
      <c r="G1402" s="1">
        <v>42145</v>
      </c>
    </row>
    <row r="1403">
      <c r="A1403" t="str">
        <v>Langues</v>
      </c>
      <c r="B1403" t="str">
        <v>Diplôme de compétence en langue occitan</v>
      </c>
      <c r="C1403" t="str">
        <v>Ministère de l'éducation nationale</v>
      </c>
      <c r="D1403" t="str">
        <f>HYPERLINK("https://inventaire.cncp.gouv.fr/fiches/619/","619")</f>
        <v>619</v>
      </c>
      <c r="E1403" t="str">
        <f>HYPERLINK("http://www.intercariforef.org/formations/certification-94759.html","94759")</f>
        <v>94759</v>
      </c>
      <c r="F1403" s="1">
        <v>42830</v>
      </c>
      <c r="G1403" s="1">
        <v>42830</v>
      </c>
    </row>
    <row r="1404">
      <c r="A1404" t="str">
        <v>Langues</v>
      </c>
      <c r="B1404" t="str">
        <v>Diplôme de compétence en langue régionale</v>
      </c>
      <c r="C1404" t="str">
        <v>Ministère de l'éducation nationale</v>
      </c>
      <c r="D1404" t="str">
        <v>99999</v>
      </c>
      <c r="E1404" t="str">
        <f>HYPERLINK("http://www.intercariforef.org/formations/certification-72751.html","72751")</f>
        <v>72751</v>
      </c>
      <c r="F1404" s="1">
        <v>40547</v>
      </c>
      <c r="G1404" s="1">
        <v>42188</v>
      </c>
    </row>
    <row r="1405">
      <c r="A1405" t="str">
        <v>Langues</v>
      </c>
      <c r="B1405" t="str">
        <v>Diplôme de français professionnel - Affaires A1</v>
      </c>
      <c r="C1405" t="str">
        <v>Centre de langue française de la CCI Paris Ile-de-France</v>
      </c>
      <c r="D1405" t="str">
        <f>HYPERLINK("https://inventaire.cncp.gouv.fr/fiches/2144/","2144")</f>
        <v>2144</v>
      </c>
      <c r="E1405" t="str">
        <f>HYPERLINK("http://www.intercariforef.org/formations/certification-89209.html","89209")</f>
        <v>89209</v>
      </c>
      <c r="F1405" s="1">
        <v>42522</v>
      </c>
      <c r="G1405" s="1">
        <v>42522</v>
      </c>
    </row>
    <row r="1406">
      <c r="A1406" t="str">
        <v>Langues</v>
      </c>
      <c r="B1406" t="str">
        <v>Diplôme de français professionnel - Affaires A2</v>
      </c>
      <c r="C1406" t="str">
        <v>Centre de langue française de la CCI Paris Ile-de-France</v>
      </c>
      <c r="D1406" t="str">
        <f>HYPERLINK("https://inventaire.cncp.gouv.fr/fiches/2140/","2140")</f>
        <v>2140</v>
      </c>
      <c r="E1406" t="str">
        <f>HYPERLINK("http://www.intercariforef.org/formations/certification-89211.html","89211")</f>
        <v>89211</v>
      </c>
      <c r="F1406" s="1">
        <v>42522</v>
      </c>
      <c r="G1406" s="1">
        <v>42522</v>
      </c>
    </row>
    <row r="1407">
      <c r="A1407" t="str">
        <v>Langues</v>
      </c>
      <c r="B1407" t="str">
        <v>Diplôme de français professionnel - Affaires B1</v>
      </c>
      <c r="C1407" t="str">
        <v>Centre de langue française de la CCI Paris Ile-de-France</v>
      </c>
      <c r="D1407" t="str">
        <f>HYPERLINK("https://inventaire.cncp.gouv.fr/fiches/2145/","2145")</f>
        <v>2145</v>
      </c>
      <c r="E1407" t="str">
        <f>HYPERLINK("http://www.intercariforef.org/formations/certification-89213.html","89213")</f>
        <v>89213</v>
      </c>
      <c r="F1407" s="1">
        <v>42522</v>
      </c>
      <c r="G1407" s="1">
        <v>42522</v>
      </c>
    </row>
    <row r="1408">
      <c r="A1408" t="str">
        <v>Langues</v>
      </c>
      <c r="B1408" t="str">
        <v>Diplôme de français professionnel - Affaires B2</v>
      </c>
      <c r="C1408" t="str">
        <v>Centre de langue française de la CCI Paris Ile-de-France</v>
      </c>
      <c r="D1408" t="str">
        <f>HYPERLINK("https://inventaire.cncp.gouv.fr/fiches/2143/","2143")</f>
        <v>2143</v>
      </c>
      <c r="E1408" t="str">
        <f>HYPERLINK("http://www.intercariforef.org/formations/certification-89215.html","89215")</f>
        <v>89215</v>
      </c>
      <c r="F1408" s="1">
        <v>42522</v>
      </c>
      <c r="G1408" s="1">
        <v>42522</v>
      </c>
    </row>
    <row r="1409">
      <c r="A1409" t="str">
        <v>Langues</v>
      </c>
      <c r="B1409" t="str">
        <v>Diplôme de français professionnel - Affaires C1</v>
      </c>
      <c r="C1409" t="str">
        <v>Centre de langue française de la CCI Paris Ile-de-France</v>
      </c>
      <c r="D1409" t="str">
        <f>HYPERLINK("https://inventaire.cncp.gouv.fr/fiches/2137/","2137")</f>
        <v>2137</v>
      </c>
      <c r="E1409" t="str">
        <f>HYPERLINK("http://www.intercariforef.org/formations/certification-89217.html","89217")</f>
        <v>89217</v>
      </c>
      <c r="F1409" s="1">
        <v>42522</v>
      </c>
      <c r="G1409" s="1">
        <v>42522</v>
      </c>
    </row>
    <row r="1410">
      <c r="A1410" t="str">
        <v>Langues</v>
      </c>
      <c r="B1410" t="str">
        <v>Diplôme de français professionnel - Juridique B2</v>
      </c>
      <c r="C1410" t="str">
        <v>Centre de langue française de la CCI Paris Ile-de-France</v>
      </c>
      <c r="D1410" t="str">
        <f>HYPERLINK("https://inventaire.cncp.gouv.fr/fiches/2119/","2119")</f>
        <v>2119</v>
      </c>
      <c r="E1410" t="str">
        <f>HYPERLINK("http://www.intercariforef.org/formations/certification-89229.html","89229")</f>
        <v>89229</v>
      </c>
      <c r="F1410" s="1">
        <v>42522</v>
      </c>
      <c r="G1410" s="1">
        <v>42522</v>
      </c>
    </row>
    <row r="1411">
      <c r="A1411" t="str">
        <v>Langues</v>
      </c>
      <c r="B1411" t="str">
        <v>Diplôme de français professionnel - Médical B2</v>
      </c>
      <c r="C1411" t="str">
        <v>Centre de langue française de la CCI Paris Ile-de-France</v>
      </c>
      <c r="D1411" t="str">
        <f>HYPERLINK("https://inventaire.cncp.gouv.fr/fiches/2123/","2123")</f>
        <v>2123</v>
      </c>
      <c r="E1411" t="str">
        <f>HYPERLINK("http://www.intercariforef.org/formations/certification-89233.html","89233")</f>
        <v>89233</v>
      </c>
      <c r="F1411" s="1">
        <v>42522</v>
      </c>
      <c r="G1411" s="1">
        <v>42522</v>
      </c>
    </row>
    <row r="1412">
      <c r="A1412" t="str">
        <v>Langues</v>
      </c>
      <c r="B1412" t="str">
        <v>Diplôme de français professionnel - Mode A2</v>
      </c>
      <c r="C1412" t="str">
        <v>Centre de langue française de la CCI Paris Ile-de-France</v>
      </c>
      <c r="D1412" t="str">
        <f>HYPERLINK("https://inventaire.cncp.gouv.fr/fiches/2130/","2130")</f>
        <v>2130</v>
      </c>
      <c r="E1412" t="str">
        <f>HYPERLINK("http://www.intercariforef.org/formations/certification-89225.html","89225")</f>
        <v>89225</v>
      </c>
      <c r="F1412" s="1">
        <v>42522</v>
      </c>
      <c r="G1412" s="1">
        <v>42522</v>
      </c>
    </row>
    <row r="1413">
      <c r="A1413" t="str">
        <v>Langues</v>
      </c>
      <c r="B1413" t="str">
        <v>Diplôme de français professionnel - Relations internationales B1</v>
      </c>
      <c r="C1413" t="str">
        <v>Centre de langue française de la CCI Paris Ile-de-France</v>
      </c>
      <c r="D1413" t="str">
        <f>HYPERLINK("https://inventaire.cncp.gouv.fr/fiches/2117/","2117")</f>
        <v>2117</v>
      </c>
      <c r="E1413" t="str">
        <f>HYPERLINK("http://www.intercariforef.org/formations/certification-89227.html","89227")</f>
        <v>89227</v>
      </c>
      <c r="F1413" s="1">
        <v>42522</v>
      </c>
      <c r="G1413" s="1">
        <v>43340</v>
      </c>
    </row>
    <row r="1414">
      <c r="A1414" t="str">
        <v>Langues</v>
      </c>
      <c r="B1414" t="str">
        <v>Diplôme de français professionnel - Relations Internationales B2</v>
      </c>
      <c r="C1414" t="str">
        <v>Chambre de Commerce et d'Industrie de Région Paris Ile-de-France - Le français des affaires</v>
      </c>
      <c r="D1414" t="str">
        <f>HYPERLINK("https://inventaire.cncp.gouv.fr/fiches/3826/","3826")</f>
        <v>3826</v>
      </c>
      <c r="E1414" t="str">
        <f>HYPERLINK("http://www.intercariforef.org/formations/certification-102079.html","102079")</f>
        <v>102079</v>
      </c>
      <c r="F1414" s="1">
        <v>43293</v>
      </c>
      <c r="G1414" s="1">
        <v>43293</v>
      </c>
    </row>
    <row r="1415">
      <c r="A1415" t="str">
        <v>Langues</v>
      </c>
      <c r="B1415" t="str">
        <v>Diplôme de français professionnel - Relations Internationales C1</v>
      </c>
      <c r="C1415" t="str">
        <v>Chambre de Commerce et d'Industrie de Région Paris Ile-de-France - Le français des affaires</v>
      </c>
      <c r="D1415" t="str">
        <f>HYPERLINK("https://inventaire.cncp.gouv.fr/fiches/3828/","3828")</f>
        <v>3828</v>
      </c>
      <c r="E1415" t="str">
        <f>HYPERLINK("http://www.intercariforef.org/formations/certification-102077.html","102077")</f>
        <v>102077</v>
      </c>
      <c r="F1415" s="1">
        <v>43293</v>
      </c>
      <c r="G1415" s="1">
        <v>43293</v>
      </c>
    </row>
    <row r="1416">
      <c r="A1416" t="str">
        <v>Langues</v>
      </c>
      <c r="B1416" t="str">
        <v>Diplôme de français professionnel - Scientifique et technique A2</v>
      </c>
      <c r="C1416" t="str">
        <v>Centre de langue française de la CCI Paris Ile-de-France</v>
      </c>
      <c r="D1416" t="str">
        <f>HYPERLINK("https://inventaire.cncp.gouv.fr/fiches/2129/","2129")</f>
        <v>2129</v>
      </c>
      <c r="E1416" t="str">
        <f>HYPERLINK("http://www.intercariforef.org/formations/certification-89367.html","89367")</f>
        <v>89367</v>
      </c>
      <c r="F1416" s="1">
        <v>42527</v>
      </c>
      <c r="G1416" s="1">
        <v>42527</v>
      </c>
    </row>
    <row r="1417">
      <c r="A1417" t="str">
        <v>Langues</v>
      </c>
      <c r="B1417" t="str">
        <v>Diplôme de français professionnel - Scientifique et technique B1</v>
      </c>
      <c r="C1417" t="str">
        <v>Centre de langue française de la CCI Paris Ile-de-France</v>
      </c>
      <c r="D1417" t="str">
        <f>HYPERLINK("https://inventaire.cncp.gouv.fr/fiches/2139/","2139")</f>
        <v>2139</v>
      </c>
      <c r="E1417" t="str">
        <f>HYPERLINK("http://www.intercariforef.org/formations/certification-89237.html","89237")</f>
        <v>89237</v>
      </c>
      <c r="F1417" s="1">
        <v>42522</v>
      </c>
      <c r="G1417" s="1">
        <v>42522</v>
      </c>
    </row>
    <row r="1418">
      <c r="A1418" t="str">
        <v>Langues</v>
      </c>
      <c r="B1418" t="str">
        <v>Diplôme de français professionnel - Secrétariat B1</v>
      </c>
      <c r="C1418" t="str">
        <v>Centre de langue française de la CCI Paris Ile-de-France</v>
      </c>
      <c r="D1418" t="str">
        <f>HYPERLINK("https://inventaire.cncp.gouv.fr/fiches/2131/","2131")</f>
        <v>2131</v>
      </c>
      <c r="E1418" t="str">
        <f>HYPERLINK("http://www.intercariforef.org/formations/certification-89219.html","89219")</f>
        <v>89219</v>
      </c>
      <c r="F1418" s="1">
        <v>42522</v>
      </c>
      <c r="G1418" s="1">
        <v>42522</v>
      </c>
    </row>
    <row r="1419">
      <c r="A1419" t="str">
        <v>Langues</v>
      </c>
      <c r="B1419" t="str">
        <v>Diplôme de français professionnel - Secrétariat B2</v>
      </c>
      <c r="C1419" t="str">
        <v>Centre de langue française de la CCI Paris Ile-de-France</v>
      </c>
      <c r="D1419" t="str">
        <f>HYPERLINK("https://inventaire.cncp.gouv.fr/fiches/2132/","2132")</f>
        <v>2132</v>
      </c>
      <c r="E1419" t="str">
        <f>HYPERLINK("http://www.intercariforef.org/formations/certification-89221.html","89221")</f>
        <v>89221</v>
      </c>
      <c r="F1419" s="1">
        <v>42522</v>
      </c>
      <c r="G1419" s="1">
        <v>42522</v>
      </c>
    </row>
    <row r="1420">
      <c r="A1420" t="str">
        <v>Langues</v>
      </c>
      <c r="B1420" t="str">
        <v>Diplôme de français professionnel - Soins infirmiers B2</v>
      </c>
      <c r="C1420" t="str">
        <v>Centre de langue française de la CCI Paris Ile-de-France</v>
      </c>
      <c r="D1420" t="str">
        <f>HYPERLINK("https://inventaire.cncp.gouv.fr/fiches/2138/","2138")</f>
        <v>2138</v>
      </c>
      <c r="E1420" t="str">
        <f>HYPERLINK("http://www.intercariforef.org/formations/certification-89223.html","89223")</f>
        <v>89223</v>
      </c>
      <c r="F1420" s="1">
        <v>42522</v>
      </c>
      <c r="G1420" s="1">
        <v>42522</v>
      </c>
    </row>
    <row r="1421">
      <c r="A1421" t="str">
        <v>Langues</v>
      </c>
      <c r="B1421" t="str">
        <v>Diplôme de français professionnel - Tourisme-Hôtellerie-Restauration A2</v>
      </c>
      <c r="C1421" t="str">
        <v>Centre de langue française de la CCI Paris Ile-de-France</v>
      </c>
      <c r="D1421" t="str">
        <f>HYPERLINK("https://inventaire.cncp.gouv.fr/fiches/2120/","2120")</f>
        <v>2120</v>
      </c>
      <c r="E1421" t="str">
        <f>HYPERLINK("http://www.intercariforef.org/formations/certification-89231.html","89231")</f>
        <v>89231</v>
      </c>
      <c r="F1421" s="1">
        <v>42522</v>
      </c>
      <c r="G1421" s="1">
        <v>43340</v>
      </c>
    </row>
    <row r="1422">
      <c r="A1422" t="str">
        <v>Langues</v>
      </c>
      <c r="B1422" t="str">
        <v>Diplôme de français professionnel - Tourisme-Hôtellerie-Restauration B2</v>
      </c>
      <c r="C1422" t="str">
        <v>Centre de langue française de la CCI Paris Ile-de-France</v>
      </c>
      <c r="D1422" t="str">
        <f>HYPERLINK("https://inventaire.cncp.gouv.fr/fiches/2118/","2118")</f>
        <v>2118</v>
      </c>
      <c r="E1422" t="str">
        <f>HYPERLINK("http://www.intercariforef.org/formations/certification-89369.html","89369")</f>
        <v>89369</v>
      </c>
      <c r="F1422" s="1">
        <v>42527</v>
      </c>
      <c r="G1422" s="1">
        <v>43340</v>
      </c>
    </row>
    <row r="1423">
      <c r="A1423" t="str">
        <v>Langues</v>
      </c>
      <c r="B1423" t="str">
        <v>Diplôme de français professionnel -Tourisme-Hôtellerie-Restauration B1</v>
      </c>
      <c r="C1423" t="str">
        <v>Centre de langue française de la CCI Paris Ile-de-France</v>
      </c>
      <c r="D1423" t="str">
        <f>HYPERLINK("https://inventaire.cncp.gouv.fr/fiches/2125/","2125")</f>
        <v>2125</v>
      </c>
      <c r="E1423" t="str">
        <f>HYPERLINK("http://www.intercariforef.org/formations/certification-89235.html","89235")</f>
        <v>89235</v>
      </c>
      <c r="F1423" s="1">
        <v>42522</v>
      </c>
      <c r="G1423" s="1">
        <v>43340</v>
      </c>
    </row>
    <row r="1424">
      <c r="A1424" t="str">
        <v>Langues</v>
      </c>
      <c r="B1424" t="str">
        <v>Diplôme d'espagnol comme langue étrangère - DELE A1</v>
      </c>
      <c r="C1424" t="str">
        <v>Centre culturel de promotion de la langue et de la culture en espagnol - Instituto Cervantes</v>
      </c>
      <c r="D1424" t="str">
        <f>HYPERLINK("https://inventaire.cncp.gouv.fr/fiches/1678/","1678")</f>
        <v>1678</v>
      </c>
      <c r="E1424" t="str">
        <f>HYPERLINK("http://www.intercariforef.org/formations/certification-93905.html","93905")</f>
        <v>93905</v>
      </c>
      <c r="F1424" s="1">
        <v>42744</v>
      </c>
      <c r="G1424" s="1">
        <v>42744</v>
      </c>
    </row>
    <row r="1425">
      <c r="A1425" t="str">
        <v>Langues</v>
      </c>
      <c r="B1425" t="str">
        <v>Diplôme d'espagnol comme langue étrangère - DELE A2</v>
      </c>
      <c r="C1425" t="str">
        <v>Centre culturel de promotion de la langue et de la culture en espagnol - Instituto Cervantes</v>
      </c>
      <c r="D1425" t="str">
        <f>HYPERLINK("https://inventaire.cncp.gouv.fr/fiches/2199/","2199")</f>
        <v>2199</v>
      </c>
      <c r="E1425" t="str">
        <f>HYPERLINK("http://www.intercariforef.org/formations/certification-93903.html","93903")</f>
        <v>93903</v>
      </c>
      <c r="F1425" s="1">
        <v>42744</v>
      </c>
      <c r="G1425" s="1">
        <v>42744</v>
      </c>
    </row>
    <row r="1426">
      <c r="A1426" t="str">
        <v>Langues</v>
      </c>
      <c r="B1426" t="str">
        <v>Diplôme d'espagnol comme langue étrangère - DELE B1</v>
      </c>
      <c r="C1426" t="str">
        <v>Centre culturel de promotion de la langue et de la culture en espagnol - Instituto Cervantes</v>
      </c>
      <c r="D1426" t="str">
        <f>HYPERLINK("https://inventaire.cncp.gouv.fr/fiches/2263/","2263")</f>
        <v>2263</v>
      </c>
      <c r="E1426" t="str">
        <f>HYPERLINK("http://www.intercariforef.org/formations/certification-93901.html","93901")</f>
        <v>93901</v>
      </c>
      <c r="F1426" s="1">
        <v>42744</v>
      </c>
      <c r="G1426" s="1">
        <v>42744</v>
      </c>
    </row>
    <row r="1427">
      <c r="A1427" t="str">
        <v>Langues</v>
      </c>
      <c r="B1427" t="str">
        <v>Diplôme d'espagnol comme langue étrangère - DELE B2</v>
      </c>
      <c r="C1427" t="str">
        <v>Centre culturel de promotion de la langue et de la culture en espagnol - Instituto Cervantes</v>
      </c>
      <c r="D1427" t="str">
        <f>HYPERLINK("https://inventaire.cncp.gouv.fr/fiches/2264/","2264")</f>
        <v>2264</v>
      </c>
      <c r="E1427" t="str">
        <f>HYPERLINK("http://www.intercariforef.org/formations/certification-93897.html","93897")</f>
        <v>93897</v>
      </c>
      <c r="F1427" s="1">
        <v>42744</v>
      </c>
      <c r="G1427" s="1">
        <v>42744</v>
      </c>
    </row>
    <row r="1428">
      <c r="A1428" t="str">
        <v>Langues</v>
      </c>
      <c r="B1428" t="str">
        <v>Diplôme d'espagnol comme langue étrangère - DELE C1</v>
      </c>
      <c r="C1428" t="str">
        <v>Centre culturel de promotion de la langue et de la culture en espagnol - Instituto Cervantes</v>
      </c>
      <c r="D1428" t="str">
        <f>HYPERLINK("https://inventaire.cncp.gouv.fr/fiches/2265/","2265")</f>
        <v>2265</v>
      </c>
      <c r="E1428" t="str">
        <f>HYPERLINK("http://www.intercariforef.org/formations/certification-93893.html","93893")</f>
        <v>93893</v>
      </c>
      <c r="F1428" s="1">
        <v>42744</v>
      </c>
      <c r="G1428" s="1">
        <v>42744</v>
      </c>
    </row>
    <row r="1429">
      <c r="A1429" t="str">
        <v>Langues</v>
      </c>
      <c r="B1429" t="str">
        <v>Diplôme d'espagnol comme langue étrangère - DELE C2</v>
      </c>
      <c r="C1429" t="str">
        <v>Centre culturel de promotion de la langue et de la culture en espagnol - Instituto Cervantes</v>
      </c>
      <c r="D1429" t="str">
        <f>HYPERLINK("https://inventaire.cncp.gouv.fr/fiches/2266/","2266")</f>
        <v>2266</v>
      </c>
      <c r="E1429" t="str">
        <f>HYPERLINK("http://www.intercariforef.org/formations/certification-93891.html","93891")</f>
        <v>93891</v>
      </c>
      <c r="F1429" s="1">
        <v>42744</v>
      </c>
      <c r="G1429" s="1">
        <v>42744</v>
      </c>
    </row>
    <row r="1430">
      <c r="A1430" t="str">
        <v>Langues</v>
      </c>
      <c r="B1430" t="str">
        <v>Diplôme d'études en langue française A1</v>
      </c>
      <c r="C1430" t="str">
        <v>Ministère de l'éducation nationale</v>
      </c>
      <c r="D1430" t="str">
        <f>HYPERLINK("https://inventaire.cncp.gouv.fr/fiches/1697/","1697")</f>
        <v>1697</v>
      </c>
      <c r="E1430" t="str">
        <f>HYPERLINK("http://www.intercariforef.org/formations/certification-46907.html","46907")</f>
        <v>46907</v>
      </c>
      <c r="F1430" s="1">
        <v>33774</v>
      </c>
      <c r="G1430" s="1">
        <v>42872</v>
      </c>
    </row>
    <row r="1431">
      <c r="A1431" t="str">
        <v>Langues</v>
      </c>
      <c r="B1431" t="str">
        <v>Diplôme d'études en langue française A2</v>
      </c>
      <c r="C1431" t="str">
        <v>Ministère de l'éducation nationale</v>
      </c>
      <c r="D1431" t="str">
        <f>HYPERLINK("https://inventaire.cncp.gouv.fr/fiches/1699/","1699")</f>
        <v>1699</v>
      </c>
      <c r="E1431" t="str">
        <f>HYPERLINK("http://www.intercariforef.org/formations/certification-76101.html","76101")</f>
        <v>76101</v>
      </c>
      <c r="F1431" s="1">
        <v>40781</v>
      </c>
      <c r="G1431" s="1">
        <v>42872</v>
      </c>
    </row>
    <row r="1432">
      <c r="A1432" t="str">
        <v>Langues</v>
      </c>
      <c r="B1432" t="str">
        <v>Diplôme d'études en langue française B1</v>
      </c>
      <c r="C1432" t="str">
        <v>Ministère de l'éducation nationale</v>
      </c>
      <c r="D1432" t="str">
        <f>HYPERLINK("https://inventaire.cncp.gouv.fr/fiches/1696/","1696")</f>
        <v>1696</v>
      </c>
      <c r="E1432" t="str">
        <f>HYPERLINK("http://www.intercariforef.org/formations/certification-46908.html","46908")</f>
        <v>46908</v>
      </c>
      <c r="F1432" s="1">
        <v>33774</v>
      </c>
      <c r="G1432" s="1">
        <v>43242</v>
      </c>
    </row>
    <row r="1433">
      <c r="A1433" t="str">
        <v>Langues</v>
      </c>
      <c r="B1433" t="str">
        <v>Diplôme d'études en langue française B2</v>
      </c>
      <c r="C1433" t="str">
        <v>Ministère de l'éducation nationale</v>
      </c>
      <c r="D1433" t="str">
        <f>HYPERLINK("https://inventaire.cncp.gouv.fr/fiches/1686/","1686")</f>
        <v>1686</v>
      </c>
      <c r="E1433" t="str">
        <f>HYPERLINK("http://www.intercariforef.org/formations/certification-76102.html","76102")</f>
        <v>76102</v>
      </c>
      <c r="F1433" s="1">
        <v>40781</v>
      </c>
      <c r="G1433" s="1">
        <v>42872</v>
      </c>
    </row>
    <row r="1434">
      <c r="A1434" t="str">
        <v>Langues</v>
      </c>
      <c r="B1434" t="str">
        <v>Diplôme d'études en langue française option professionnelle A1</v>
      </c>
      <c r="C1434" t="str">
        <v>Ministère de l'éducation nationale</v>
      </c>
      <c r="D1434" t="str">
        <f>HYPERLINK("https://inventaire.cncp.gouv.fr/fiches/1695/","1695")</f>
        <v>1695</v>
      </c>
      <c r="E1434" t="str">
        <f>HYPERLINK("http://www.intercariforef.org/formations/certification-76105.html","76105")</f>
        <v>76105</v>
      </c>
      <c r="F1434" s="1">
        <v>40781</v>
      </c>
      <c r="G1434" s="1">
        <v>42872</v>
      </c>
    </row>
    <row r="1435">
      <c r="A1435" t="str">
        <v>Langues</v>
      </c>
      <c r="B1435" t="str">
        <v>Diplôme d'études en langue française option professionnelle A2</v>
      </c>
      <c r="C1435" t="str">
        <v>Ministère de l'éducation nationale</v>
      </c>
      <c r="D1435" t="str">
        <f>HYPERLINK("https://inventaire.cncp.gouv.fr/fiches/1693/","1693")</f>
        <v>1693</v>
      </c>
      <c r="E1435" t="str">
        <f>HYPERLINK("http://www.intercariforef.org/formations/certification-76106.html","76106")</f>
        <v>76106</v>
      </c>
      <c r="F1435" s="1">
        <v>40781</v>
      </c>
      <c r="G1435" s="1">
        <v>42872</v>
      </c>
    </row>
    <row r="1436">
      <c r="A1436" t="str">
        <v>Langues</v>
      </c>
      <c r="B1436" t="str">
        <v>Diplôme d'études en langue française option professionnelle B1</v>
      </c>
      <c r="C1436" t="str">
        <v>Ministère de l'éducation nationale</v>
      </c>
      <c r="D1436" t="str">
        <f>HYPERLINK("https://inventaire.cncp.gouv.fr/fiches/1692/","1692")</f>
        <v>1692</v>
      </c>
      <c r="E1436" t="str">
        <f>HYPERLINK("http://www.intercariforef.org/formations/certification-76107.html","76107")</f>
        <v>76107</v>
      </c>
      <c r="F1436" s="1">
        <v>40781</v>
      </c>
      <c r="G1436" s="1">
        <v>42872</v>
      </c>
    </row>
    <row r="1437">
      <c r="A1437" t="str">
        <v>Langues</v>
      </c>
      <c r="B1437" t="str">
        <v>Diplôme d'études en langue française option professionnelle B2</v>
      </c>
      <c r="C1437" t="str">
        <v>Ministère de l'éducation nationale</v>
      </c>
      <c r="D1437" t="str">
        <f>HYPERLINK("https://inventaire.cncp.gouv.fr/fiches/1690/","1690")</f>
        <v>1690</v>
      </c>
      <c r="E1437" t="str">
        <f>HYPERLINK("http://www.intercariforef.org/formations/certification-76108.html","76108")</f>
        <v>76108</v>
      </c>
      <c r="F1437" s="1">
        <v>40781</v>
      </c>
      <c r="G1437" s="1">
        <v>42872</v>
      </c>
    </row>
    <row r="1438">
      <c r="A1438" t="str">
        <v>Langues</v>
      </c>
      <c r="B1438" t="str">
        <v>Diplôme initial de langue française (DILF)</v>
      </c>
      <c r="C1438" t="str">
        <v>Ministère de l'éducation nationale</v>
      </c>
      <c r="D1438" t="str">
        <f>HYPERLINK("https://inventaire.cncp.gouv.fr/fiches/1702/","1702")</f>
        <v>1702</v>
      </c>
      <c r="E1438" t="str">
        <f>HYPERLINK("http://www.intercariforef.org/formations/certification-62926.html","62926")</f>
        <v>62926</v>
      </c>
      <c r="F1438" s="1">
        <v>38443</v>
      </c>
      <c r="G1438" s="1">
        <v>42488</v>
      </c>
    </row>
    <row r="1439">
      <c r="A1439" t="str">
        <v>Langues</v>
      </c>
      <c r="B1439" t="str">
        <v>EFSET Test d'Anglais Professionnel et Général</v>
      </c>
      <c r="C1439" t="str">
        <v>EF Education First</v>
      </c>
      <c r="D1439" t="str">
        <f>HYPERLINK("https://inventaire.cncp.gouv.fr/fiches/1521/","1521")</f>
        <v>1521</v>
      </c>
      <c r="E1439" t="str">
        <f>HYPERLINK("http://www.intercariforef.org/formations/certification-90251.html","90251")</f>
        <v>90251</v>
      </c>
      <c r="F1439" s="1">
        <v>42563</v>
      </c>
      <c r="G1439" s="1">
        <v>42563</v>
      </c>
    </row>
    <row r="1440">
      <c r="A1440" t="str">
        <v>Langues</v>
      </c>
      <c r="B1440" t="str">
        <v>EGA Euskara Gaitasun Agiria (Certificat de compétence en langue basque de niveau C1)</v>
      </c>
      <c r="C1440" t="str">
        <v>Office Public de la Langue Basque, Université Pau et des Pays de L'Adour</v>
      </c>
      <c r="D1440" t="str">
        <f>HYPERLINK("https://inventaire.cncp.gouv.fr/fiches/1348/","1348")</f>
        <v>1348</v>
      </c>
      <c r="E1440" t="str">
        <f>HYPERLINK("http://www.intercariforef.org/formations/certification-86217.html","86217")</f>
        <v>86217</v>
      </c>
      <c r="F1440" s="1">
        <v>42320</v>
      </c>
      <c r="G1440" s="1">
        <v>42403</v>
      </c>
    </row>
    <row r="1441">
      <c r="A1441" t="str">
        <v>Langues</v>
      </c>
      <c r="B1441" t="str">
        <v>EsPRO BULATS</v>
      </c>
      <c r="C1441" t="str">
        <v>Université de Salamanque / PEOPLE-CERT</v>
      </c>
      <c r="D1441" t="str">
        <f>HYPERLINK("https://inventaire.cncp.gouv.fr/fiches/2774/","2774")</f>
        <v>2774</v>
      </c>
      <c r="E1441" t="str">
        <f>HYPERLINK("http://www.intercariforef.org/formations/certification-95271.html","95271")</f>
        <v>95271</v>
      </c>
      <c r="F1441" s="1">
        <v>42851</v>
      </c>
      <c r="G1441" s="1">
        <v>42851</v>
      </c>
    </row>
    <row r="1442">
      <c r="A1442" t="str">
        <v>Langues</v>
      </c>
      <c r="B1442" t="str">
        <v>Goethe - Test PRO - L'allemand professionnel</v>
      </c>
      <c r="C1442" t="str">
        <v>Goethe-Institut</v>
      </c>
      <c r="D1442" t="str">
        <f>HYPERLINK("https://inventaire.cncp.gouv.fr/fiches/2385/","2385")</f>
        <v>2385</v>
      </c>
      <c r="E1442" t="str">
        <f>HYPERLINK("http://www.intercariforef.org/formations/certification-93931.html","93931")</f>
        <v>93931</v>
      </c>
      <c r="F1442" s="1">
        <v>42744</v>
      </c>
      <c r="G1442" s="1">
        <v>42744</v>
      </c>
    </row>
    <row r="1443" ht="26.2" customHeight="1">
      <c r="A1443" t="str">
        <v>Langues</v>
      </c>
      <c r="B1443" t="str">
        <v>Habilitation des examinateurs-correcteurs du Diplôme d'études en langue française (DELF) et du Diplôme approfondi de langue française (DALF)</v>
      </c>
      <c r="C1443" t="str">
        <v>Centre international d'études pédagogiques (CIEP)</v>
      </c>
      <c r="D1443" t="str">
        <f>HYPERLINK("https://inventaire.cncp.gouv.fr/fiches/1704/","1704")</f>
        <v>1704</v>
      </c>
      <c r="E1443" t="str">
        <f>HYPERLINK("http://www.intercariforef.org/formations/certification-88523.html","88523")</f>
        <v>88523</v>
      </c>
      <c r="F1443" s="1">
        <v>42466</v>
      </c>
      <c r="G1443" s="1">
        <v>42563</v>
      </c>
    </row>
    <row r="1444">
      <c r="A1444" t="str">
        <v>Langues</v>
      </c>
      <c r="B1444" t="str">
        <v>Habilitation des examinateurs-correcteurs du Diplôme initial de langue française (DILF)</v>
      </c>
      <c r="C1444" t="str">
        <v>Centre international d'études pédagogiques (CIEP)</v>
      </c>
      <c r="D1444" t="str">
        <f>HYPERLINK("https://inventaire.cncp.gouv.fr/fiches/1705/","1705")</f>
        <v>1705</v>
      </c>
      <c r="E1444" t="str">
        <f>HYPERLINK("http://www.intercariforef.org/formations/certification-88501.html","88501")</f>
        <v>88501</v>
      </c>
      <c r="F1444" s="1">
        <v>42465</v>
      </c>
      <c r="G1444" s="1">
        <v>42465</v>
      </c>
    </row>
    <row r="1445" ht="26.2" customHeight="1">
      <c r="A1445" t="str">
        <v>Langues</v>
      </c>
      <c r="B1445" t="str">
        <v>Habilitation des formateurs des examinateurs-correcteurs du Diplôme d'études en langue française (DELF) et du Diplôme approfondi de langue française (DALF)</v>
      </c>
      <c r="C1445" t="str">
        <v>Centre international d'études pédagogiques (CIEP)</v>
      </c>
      <c r="D1445" t="str">
        <f>HYPERLINK("https://inventaire.cncp.gouv.fr/fiches/1703/","1703")</f>
        <v>1703</v>
      </c>
      <c r="E1445" t="str">
        <f>HYPERLINK("http://www.intercariforef.org/formations/certification-90245.html","90245")</f>
        <v>90245</v>
      </c>
      <c r="F1445" s="1">
        <v>42563</v>
      </c>
      <c r="G1445" s="1">
        <v>42563</v>
      </c>
    </row>
    <row r="1446">
      <c r="A1446" t="str">
        <v>Langues</v>
      </c>
      <c r="B1446" t="str">
        <v>Habilitation Ev@lang</v>
      </c>
      <c r="C1446" t="str">
        <v>Cours de civilisation française de la Sorbonne, Inflexyon</v>
      </c>
      <c r="D1446" t="str">
        <f>HYPERLINK("https://inventaire.cncp.gouv.fr/fiches/2114/","2114")</f>
        <v>2114</v>
      </c>
      <c r="E1446" t="str">
        <f>HYPERLINK("http://www.intercariforef.org/formations/certification-92115.html","92115")</f>
        <v>92115</v>
      </c>
      <c r="F1446" s="1">
        <v>42667</v>
      </c>
      <c r="G1446" s="1">
        <v>42667</v>
      </c>
    </row>
    <row r="1447">
      <c r="A1447" t="str">
        <v>Langues</v>
      </c>
      <c r="B1447" t="str">
        <v>LILATE - Live Language Test</v>
      </c>
      <c r="C1447" t="str">
        <v>Lingueo</v>
      </c>
      <c r="D1447" t="str">
        <f>HYPERLINK("https://inventaire.cncp.gouv.fr/fiches/1643/","1643")</f>
        <v>1643</v>
      </c>
      <c r="E1447" t="str">
        <f>HYPERLINK("http://www.intercariforef.org/formations/certification-88119.html","88119")</f>
        <v>88119</v>
      </c>
      <c r="F1447" s="1">
        <v>42445</v>
      </c>
      <c r="G1447" s="1">
        <v>42445</v>
      </c>
    </row>
    <row r="1448">
      <c r="A1448" t="str">
        <v>Langues</v>
      </c>
      <c r="B1448" t="str">
        <v>Test Bright Anglais "level A"</v>
      </c>
      <c r="C1448" t="str">
        <v>Bright Language</v>
      </c>
      <c r="D1448" t="str">
        <f>HYPERLINK("https://inventaire.cncp.gouv.fr/fiches/969/","969")</f>
        <v>969</v>
      </c>
      <c r="E1448" t="str">
        <f>HYPERLINK("http://www.intercariforef.org/formations/certification-85199.html","85199")</f>
        <v>85199</v>
      </c>
      <c r="F1448" s="1">
        <v>42205</v>
      </c>
      <c r="G1448" s="1">
        <v>42340</v>
      </c>
    </row>
    <row r="1449">
      <c r="A1449" t="str">
        <v>Langues</v>
      </c>
      <c r="B1449" t="str">
        <v>Test Bright Language - évaluation Chinois Mandarin</v>
      </c>
      <c r="C1449" t="str">
        <v>Bright Language</v>
      </c>
      <c r="D1449" t="str">
        <f>HYPERLINK("https://inventaire.cncp.gouv.fr/fiches/522/","522")</f>
        <v>522</v>
      </c>
      <c r="E1449" t="str">
        <f>HYPERLINK("http://www.intercariforef.org/formations/certification-85584.html","85584")</f>
        <v>85584</v>
      </c>
      <c r="F1449" s="1">
        <v>42269</v>
      </c>
      <c r="G1449" s="1">
        <v>42979</v>
      </c>
    </row>
    <row r="1450">
      <c r="A1450" t="str">
        <v>Langues</v>
      </c>
      <c r="B1450" t="str">
        <v>Test Bright Language - évaluation d'Anglais professionnel</v>
      </c>
      <c r="C1450" t="str">
        <v>Bright Language</v>
      </c>
      <c r="D1450" t="str">
        <f>HYPERLINK("https://inventaire.cncp.gouv.fr/fiches/93/","93")</f>
        <v>93</v>
      </c>
      <c r="E1450" t="str">
        <f>HYPERLINK("http://www.intercariforef.org/formations/certification-84546.html","84546")</f>
        <v>84546</v>
      </c>
      <c r="F1450" s="1">
        <v>42114</v>
      </c>
      <c r="G1450" s="1">
        <v>42979</v>
      </c>
    </row>
    <row r="1451">
      <c r="A1451" t="str">
        <v>Langues</v>
      </c>
      <c r="B1451" t="str">
        <v>Test Bright Language - évaluation Néerlandais</v>
      </c>
      <c r="C1451" t="str">
        <v>Bright Language</v>
      </c>
      <c r="D1451" t="str">
        <f>HYPERLINK("https://inventaire.cncp.gouv.fr/fiches/542/","542")</f>
        <v>542</v>
      </c>
      <c r="E1451" t="str">
        <f>HYPERLINK("http://www.intercariforef.org/formations/certification-85577.html","85577")</f>
        <v>85577</v>
      </c>
      <c r="F1451" s="1">
        <v>42269</v>
      </c>
      <c r="G1451" s="1">
        <v>42979</v>
      </c>
    </row>
    <row r="1452">
      <c r="A1452" t="str">
        <v>Langues</v>
      </c>
      <c r="B1452" t="str">
        <v>Test Bright Language - évaluation Russe</v>
      </c>
      <c r="C1452" t="str">
        <v>Bright Language</v>
      </c>
      <c r="D1452" t="str">
        <f>HYPERLINK("https://inventaire.cncp.gouv.fr/fiches/465/","465")</f>
        <v>465</v>
      </c>
      <c r="E1452" t="str">
        <f>HYPERLINK("http://www.intercariforef.org/formations/certification-85586.html","85586")</f>
        <v>85586</v>
      </c>
      <c r="F1452" s="1">
        <v>42269</v>
      </c>
      <c r="G1452" s="1">
        <v>42979</v>
      </c>
    </row>
    <row r="1453">
      <c r="A1453" t="str">
        <v>Langues</v>
      </c>
      <c r="B1453" t="str">
        <v>Test Bright Language - test d'évaluation Allemand</v>
      </c>
      <c r="C1453" t="str">
        <v>Bright Language</v>
      </c>
      <c r="D1453" t="str">
        <f>HYPERLINK("https://inventaire.cncp.gouv.fr/fiches/571/","571")</f>
        <v>571</v>
      </c>
      <c r="E1453" t="str">
        <f>HYPERLINK("http://www.intercariforef.org/formations/certification-86389.html","86389")</f>
        <v>86389</v>
      </c>
      <c r="F1453" s="1">
        <v>42340</v>
      </c>
      <c r="G1453" s="1">
        <v>42340</v>
      </c>
    </row>
    <row r="1454">
      <c r="A1454" t="str">
        <v>Langues</v>
      </c>
      <c r="B1454" t="str">
        <v>Test Bright Language - test d'évaluation Espagnol</v>
      </c>
      <c r="C1454" t="str">
        <v>Bright Language</v>
      </c>
      <c r="D1454" t="str">
        <f>HYPERLINK("https://inventaire.cncp.gouv.fr/fiches/567/","567")</f>
        <v>567</v>
      </c>
      <c r="E1454" t="str">
        <f>HYPERLINK("http://www.intercariforef.org/formations/certification-86390.html","86390")</f>
        <v>86390</v>
      </c>
      <c r="F1454" s="1">
        <v>42340</v>
      </c>
      <c r="G1454" s="1">
        <v>42340</v>
      </c>
    </row>
    <row r="1455">
      <c r="A1455" t="str">
        <v>Langues</v>
      </c>
      <c r="B1455" t="str">
        <v>Test Bright Language - test d'évaluation Français langue étrangère FLE</v>
      </c>
      <c r="C1455" t="str">
        <v>Bright Language</v>
      </c>
      <c r="D1455" t="str">
        <f>HYPERLINK("https://inventaire.cncp.gouv.fr/fiches/525/","525")</f>
        <v>525</v>
      </c>
      <c r="E1455" t="str">
        <f>HYPERLINK("http://www.intercariforef.org/formations/certification-85582.html","85582")</f>
        <v>85582</v>
      </c>
      <c r="F1455" s="1">
        <v>42269</v>
      </c>
      <c r="G1455" s="1">
        <v>42979</v>
      </c>
    </row>
    <row r="1456">
      <c r="A1456" t="str">
        <v>Langues</v>
      </c>
      <c r="B1456" t="str">
        <v>Test Bright Language - test d'évaluation Italien</v>
      </c>
      <c r="C1456" t="str">
        <v>Bright Language</v>
      </c>
      <c r="D1456" t="str">
        <f>HYPERLINK("https://inventaire.cncp.gouv.fr/fiches/572/","572")</f>
        <v>572</v>
      </c>
      <c r="E1456" t="str">
        <f>HYPERLINK("http://www.intercariforef.org/formations/certification-85572.html","85572")</f>
        <v>85572</v>
      </c>
      <c r="F1456" s="1">
        <v>42269</v>
      </c>
      <c r="G1456" s="1">
        <v>42979</v>
      </c>
    </row>
    <row r="1457">
      <c r="A1457" t="str">
        <v>Langues</v>
      </c>
      <c r="B1457" t="str">
        <v>Test Bright Language - test d'évaluation Portugais</v>
      </c>
      <c r="C1457" t="str">
        <v>Bright Language</v>
      </c>
      <c r="D1457" t="str">
        <f>HYPERLINK("https://inventaire.cncp.gouv.fr/fiches/546/","546")</f>
        <v>546</v>
      </c>
      <c r="E1457" t="str">
        <f>HYPERLINK("http://www.intercariforef.org/formations/certification-85575.html","85575")</f>
        <v>85575</v>
      </c>
      <c r="F1457" s="1">
        <v>42269</v>
      </c>
      <c r="G1457" s="1">
        <v>42979</v>
      </c>
    </row>
    <row r="1458">
      <c r="A1458" t="str">
        <v>Langues</v>
      </c>
      <c r="B1458" t="str">
        <v>Test de compétences en anglais - Evaluate your English Skills - EYES</v>
      </c>
      <c r="C1458" t="str">
        <v>Intercountry Management</v>
      </c>
      <c r="D1458" t="str">
        <f>HYPERLINK("https://inventaire.cncp.gouv.fr/fiches/2076/","2076")</f>
        <v>2076</v>
      </c>
      <c r="E1458" t="str">
        <f>HYPERLINK("http://www.intercariforef.org/formations/certification-89249.html","89249")</f>
        <v>89249</v>
      </c>
      <c r="F1458" s="1">
        <v>42522</v>
      </c>
      <c r="G1458" s="1">
        <v>42522</v>
      </c>
    </row>
    <row r="1459">
      <c r="A1459" t="str">
        <v>Langues</v>
      </c>
      <c r="B1459" t="str">
        <v>Test de compétences en espagnol - Diagnóstico de Competencias de Espanol - DICE</v>
      </c>
      <c r="C1459" t="str">
        <v>Intercountry Management</v>
      </c>
      <c r="D1459" t="str">
        <f>HYPERLINK("https://inventaire.cncp.gouv.fr/fiches/2080/","2080")</f>
        <v>2080</v>
      </c>
      <c r="E1459" t="str">
        <f>HYPERLINK("http://www.intercariforef.org/formations/certification-89247.html","89247")</f>
        <v>89247</v>
      </c>
      <c r="F1459" s="1">
        <v>42522</v>
      </c>
      <c r="G1459" s="1">
        <v>42522</v>
      </c>
    </row>
    <row r="1460">
      <c r="A1460" t="str">
        <v>Langues</v>
      </c>
      <c r="B1460" t="str">
        <v>Test de connaissance du français - Accès à la nationalité française (TCF ANF)</v>
      </c>
      <c r="C1460" t="str">
        <v>Centre international d'études pédagogiques (CIEP)</v>
      </c>
      <c r="D1460" t="str">
        <f>HYPERLINK("https://inventaire.cncp.gouv.fr/fiches/1644/","1644")</f>
        <v>1644</v>
      </c>
      <c r="E1460" t="str">
        <f>HYPERLINK("http://www.intercariforef.org/formations/certification-90249.html","90249")</f>
        <v>90249</v>
      </c>
      <c r="F1460" s="1">
        <v>42563</v>
      </c>
      <c r="G1460" s="1">
        <v>42563</v>
      </c>
    </row>
    <row r="1461">
      <c r="A1461" t="str">
        <v>Langues</v>
      </c>
      <c r="B1461" t="str">
        <v>Test de Connaissance du Français « tout public » (TCF « tout public » ou TCF TP)</v>
      </c>
      <c r="C1461" t="str">
        <v>Centre international d'études pédagogiques (CIEP)</v>
      </c>
      <c r="D1461" t="str">
        <f>HYPERLINK("https://inventaire.cncp.gouv.fr/fiches/1831/","1831")</f>
        <v>1831</v>
      </c>
      <c r="E1461" t="str">
        <f>HYPERLINK("http://www.intercariforef.org/formations/certification-90241.html","90241")</f>
        <v>90241</v>
      </c>
      <c r="F1461" s="1">
        <v>42563</v>
      </c>
      <c r="G1461" s="1">
        <v>42563</v>
      </c>
    </row>
    <row r="1462">
      <c r="A1462" t="str">
        <v>Langues</v>
      </c>
      <c r="B1462" t="str">
        <v>Test de connaissance du français pour le Québec (TCF Québec)</v>
      </c>
      <c r="C1462" t="str">
        <v>Centre international d'études pédagogiques (CIEP)</v>
      </c>
      <c r="D1462" t="str">
        <f>HYPERLINK("https://inventaire.cncp.gouv.fr/fiches/1646/","1646")</f>
        <v>1646</v>
      </c>
      <c r="E1462" t="str">
        <f>HYPERLINK("http://www.intercariforef.org/formations/certification-90247.html","90247")</f>
        <v>90247</v>
      </c>
      <c r="F1462" s="1">
        <v>42563</v>
      </c>
      <c r="G1462" s="1">
        <v>42563</v>
      </c>
    </row>
    <row r="1463">
      <c r="A1463" t="str">
        <v>Langues</v>
      </c>
      <c r="B1463" t="str">
        <v>Test de Langue easySPEAKing</v>
      </c>
      <c r="C1463" t="str">
        <v>Easyrecrue</v>
      </c>
      <c r="D1463" t="str">
        <f>HYPERLINK("https://inventaire.cncp.gouv.fr/fiches/3643/","3643")</f>
        <v>3643</v>
      </c>
      <c r="E1463" t="str">
        <f>HYPERLINK("http://www.intercariforef.org/formations/certification-104163.html","104163")</f>
        <v>104163</v>
      </c>
      <c r="F1463" s="1">
        <v>43398</v>
      </c>
      <c r="G1463" s="1">
        <v>43398</v>
      </c>
    </row>
    <row r="1464">
      <c r="A1464" t="str">
        <v>Langues</v>
      </c>
      <c r="B1464" t="str">
        <v>Test d'évaluation de français - TEF</v>
      </c>
      <c r="C1464" t="str">
        <v>Centre de langue française de la CCI Paris Ile-de-France</v>
      </c>
      <c r="D1464" t="str">
        <f>HYPERLINK("https://inventaire.cncp.gouv.fr/fiches/319/","319")</f>
        <v>319</v>
      </c>
      <c r="E1464" t="str">
        <f>HYPERLINK("http://www.intercariforef.org/formations/certification-84854.html","84854")</f>
        <v>84854</v>
      </c>
      <c r="F1464" s="1">
        <v>42177</v>
      </c>
      <c r="G1464" s="1">
        <v>42177</v>
      </c>
    </row>
    <row r="1465" ht="26.2" customHeight="1">
      <c r="A1465" t="str">
        <v>Langues</v>
      </c>
      <c r="B1465" t="str">
        <v>Test LEVELTEL - évaluation du niveau global de communication professionnelle en anglais, allemand, espagnol, italien ou français langue étrangère</v>
      </c>
      <c r="C1465" t="str">
        <v>Ecsplicite</v>
      </c>
      <c r="D1465" t="str">
        <f>HYPERLINK("https://inventaire.cncp.gouv.fr/fiches/2289/","2289")</f>
        <v>2289</v>
      </c>
      <c r="E1465" t="str">
        <f>HYPERLINK("http://www.intercariforef.org/formations/certification-94027.html","94027")</f>
        <v>94027</v>
      </c>
      <c r="F1465" s="1">
        <v>42747</v>
      </c>
      <c r="G1465" s="1">
        <v>43384</v>
      </c>
    </row>
    <row r="1466">
      <c r="A1466" t="str">
        <v>Langues</v>
      </c>
      <c r="B1466" t="str">
        <v>Test TOEFL (Test of English as Foreign Language)</v>
      </c>
      <c r="C1466" t="str">
        <v>Educational Testing Service (ETS) Global BV</v>
      </c>
      <c r="D1466" t="str">
        <f>HYPERLINK("https://inventaire.cncp.gouv.fr/fiches/3453/","3453")</f>
        <v>3453</v>
      </c>
      <c r="E1466" t="str">
        <f>HYPERLINK("http://www.intercariforef.org/formations/certification-84167.html","84167")</f>
        <v>84167</v>
      </c>
      <c r="F1466" s="1">
        <v>42053</v>
      </c>
      <c r="G1466" s="1">
        <v>43117</v>
      </c>
    </row>
    <row r="1467">
      <c r="A1467" t="str">
        <v>Langues</v>
      </c>
      <c r="B1467" t="str">
        <v>Test WiDaF</v>
      </c>
      <c r="C1467" t="str">
        <v>Chambre Franco-Allemande de Commerce et d'Industrie</v>
      </c>
      <c r="D1467" t="str">
        <f>HYPERLINK("https://inventaire.cncp.gouv.fr/fiches/2566/","2566")</f>
        <v>2566</v>
      </c>
      <c r="E1467" t="str">
        <f>HYPERLINK("http://www.intercariforef.org/formations/certification-93775.html","93775")</f>
        <v>93775</v>
      </c>
      <c r="F1467" s="1">
        <v>42725</v>
      </c>
      <c r="G1467" s="1">
        <v>42895</v>
      </c>
    </row>
    <row r="1468">
      <c r="A1468" t="str">
        <v>Langues</v>
      </c>
      <c r="B1468" t="str">
        <v>Tests TOEIC® (Test of English for International Communication)</v>
      </c>
      <c r="C1468" t="str">
        <v>Educational Testing Service (ETS) Global BV</v>
      </c>
      <c r="D1468" t="str">
        <f>HYPERLINK("https://inventaire.cncp.gouv.fr/fiches/3130/","3130")</f>
        <v>3130</v>
      </c>
      <c r="E1468" t="str">
        <f>HYPERLINK("http://www.intercariforef.org/formations/certification-84168.html","84168")</f>
        <v>84168</v>
      </c>
      <c r="F1468" s="1">
        <v>42053</v>
      </c>
      <c r="G1468" s="1">
        <v>42990</v>
      </c>
    </row>
    <row r="1469" ht="26.2" customHeight="1">
      <c r="A1469" t="str">
        <v>Manutention</v>
      </c>
      <c r="B1469" t="str">
        <v>Certificat d'aptitude à la conduite en sécurité R372 modifié engins de chantier catégorie 1 tracteurs et petits engins de chantier mobiles</v>
      </c>
      <c r="C1469" t="str">
        <v>Caisse Nationale de l'Assurance Maladie des Travailleurs (CNAMTS)</v>
      </c>
      <c r="D1469" t="str">
        <v>99999</v>
      </c>
      <c r="E1469" t="str">
        <f>HYPERLINK("http://www.intercariforef.org/formations/certification-55810.html","55810")</f>
        <v>55810</v>
      </c>
      <c r="F1469" s="1">
        <v>39254</v>
      </c>
      <c r="G1469" s="1">
        <v>42718</v>
      </c>
    </row>
    <row r="1470" ht="39.3" customHeight="1">
      <c r="A1470" t="str">
        <v>Manutention</v>
      </c>
      <c r="B1470" t="str">
        <v>Certificat d'aptitude à la conduite en sécurité R372 modifié engins de chantier catégorie 10 déplacement chargement déchargement transfert d'engins sans activité de production (porte-engin) maintenance démonstration ou essais</v>
      </c>
      <c r="C1470" t="str">
        <v>Caisse Nationale de l'Assurance Maladie des Travailleurs (CNAMTS)</v>
      </c>
      <c r="D1470" t="str">
        <v>99999</v>
      </c>
      <c r="E1470" t="str">
        <f>HYPERLINK("http://www.intercariforef.org/formations/certification-55804.html","55804")</f>
        <v>55804</v>
      </c>
      <c r="F1470" s="1">
        <v>39254</v>
      </c>
      <c r="G1470" s="1">
        <v>42718</v>
      </c>
    </row>
    <row r="1471" ht="26.2" customHeight="1">
      <c r="A1471" t="str">
        <v>Manutention</v>
      </c>
      <c r="B1471" t="str">
        <v>Certificat d'aptitude à la conduite en sécurité R372 modifié engins de chantier catégorie 2 engins d'extraction et/ou de chargement à déplacement séquentiel</v>
      </c>
      <c r="C1471" t="str">
        <v>Caisse Nationale de l'Assurance Maladie des Travailleurs (CNAMTS)</v>
      </c>
      <c r="D1471" t="str">
        <v>99999</v>
      </c>
      <c r="E1471" t="str">
        <f>HYPERLINK("http://www.intercariforef.org/formations/certification-55811.html","55811")</f>
        <v>55811</v>
      </c>
      <c r="F1471" s="1">
        <v>39254</v>
      </c>
      <c r="G1471" s="1">
        <v>42718</v>
      </c>
    </row>
    <row r="1472" ht="26.2" customHeight="1">
      <c r="A1472" t="str">
        <v>Manutention</v>
      </c>
      <c r="B1472" t="str">
        <v>Certificat d'aptitude à la conduite en sécurité R372 modifié engins de chantier catégorie 3 engins d'extraction à déplacement alternatif</v>
      </c>
      <c r="C1472" t="str">
        <v>Caisse Nationale de l'Assurance Maladie des Travailleurs (CNAMTS)</v>
      </c>
      <c r="D1472" t="str">
        <v>99999</v>
      </c>
      <c r="E1472" t="str">
        <f>HYPERLINK("http://www.intercariforef.org/formations/certification-55807.html","55807")</f>
        <v>55807</v>
      </c>
      <c r="F1472" s="1">
        <v>39254</v>
      </c>
      <c r="G1472" s="1">
        <v>42718</v>
      </c>
    </row>
    <row r="1473" ht="26.2" customHeight="1">
      <c r="A1473" t="str">
        <v>Manutention</v>
      </c>
      <c r="B1473" t="str">
        <v>Certificat d'aptitude à la conduite en sécurité R372 modifié engins de chantier catégorie 4 engins de chargement à déplacement alternatif</v>
      </c>
      <c r="C1473" t="str">
        <v>Caisse Nationale de l'Assurance Maladie des Travailleurs (CNAMTS)</v>
      </c>
      <c r="D1473" t="str">
        <v>99999</v>
      </c>
      <c r="E1473" t="str">
        <f>HYPERLINK("http://www.intercariforef.org/formations/certification-55809.html","55809")</f>
        <v>55809</v>
      </c>
      <c r="F1473" s="1">
        <v>39254</v>
      </c>
      <c r="G1473" s="1">
        <v>42718</v>
      </c>
    </row>
    <row r="1474" ht="26.2" customHeight="1">
      <c r="A1474" t="str">
        <v>Manutention</v>
      </c>
      <c r="B1474" t="str">
        <v>Certificat d'aptitude à la conduite en sécurité R372 modifié engins de chantier catégorie 5 engins de finition à déplacement lent</v>
      </c>
      <c r="C1474" t="str">
        <v>Caisse Nationale de l'Assurance Maladie des Travailleurs (CNAMTS)</v>
      </c>
      <c r="D1474" t="str">
        <v>99999</v>
      </c>
      <c r="E1474" t="str">
        <f>HYPERLINK("http://www.intercariforef.org/formations/certification-55803.html","55803")</f>
        <v>55803</v>
      </c>
      <c r="F1474" s="1">
        <v>39254</v>
      </c>
      <c r="G1474" s="1">
        <v>42718</v>
      </c>
    </row>
    <row r="1475" ht="26.2" customHeight="1">
      <c r="A1475" t="str">
        <v>Manutention</v>
      </c>
      <c r="B1475" t="str">
        <v>Certificat d'aptitude à la conduite en sécurité R372 modifié engins de chantier catégorie 6 engins de réglage à déplacement alternatif</v>
      </c>
      <c r="C1475" t="str">
        <v>Caisse Nationale de l'Assurance Maladie des Travailleurs (CNAMTS)</v>
      </c>
      <c r="D1475" t="str">
        <v>99999</v>
      </c>
      <c r="E1475" t="str">
        <f>HYPERLINK("http://www.intercariforef.org/formations/certification-55808.html","55808")</f>
        <v>55808</v>
      </c>
      <c r="F1475" s="1">
        <v>39254</v>
      </c>
      <c r="G1475" s="1">
        <v>42718</v>
      </c>
    </row>
    <row r="1476" ht="26.2" customHeight="1">
      <c r="A1476" t="str">
        <v>Manutention</v>
      </c>
      <c r="B1476" t="str">
        <v>Certificat d'aptitude à la conduite en sécurité R372 modifié engins de chantier catégorie 7 engins de compactage à déplacement alternatif</v>
      </c>
      <c r="C1476" t="str">
        <v>Caisse Nationale de l'Assurance Maladie des Travailleurs (CNAMTS)</v>
      </c>
      <c r="D1476" t="str">
        <v>99999</v>
      </c>
      <c r="E1476" t="str">
        <f>HYPERLINK("http://www.intercariforef.org/formations/certification-55812.html","55812")</f>
        <v>55812</v>
      </c>
      <c r="F1476" s="1">
        <v>39254</v>
      </c>
      <c r="G1476" s="1">
        <v>42718</v>
      </c>
    </row>
    <row r="1477" ht="26.2" customHeight="1">
      <c r="A1477" t="str">
        <v>Manutention</v>
      </c>
      <c r="B1477" t="str">
        <v>Certificat d'aptitude à la conduite en sécurité R372 modifié engins de chantier catégorie 8 engins de transport ou d'extraction de transport</v>
      </c>
      <c r="C1477" t="str">
        <v>Caisse Nationale de l'Assurance Maladie des Travailleurs (CNAMTS)</v>
      </c>
      <c r="D1477" t="str">
        <v>99999</v>
      </c>
      <c r="E1477" t="str">
        <f>HYPERLINK("http://www.intercariforef.org/formations/certification-55806.html","55806")</f>
        <v>55806</v>
      </c>
      <c r="F1477" s="1">
        <v>39254</v>
      </c>
      <c r="G1477" s="1">
        <v>42718</v>
      </c>
    </row>
    <row r="1478" ht="26.2" customHeight="1">
      <c r="A1478" t="str">
        <v>Manutention</v>
      </c>
      <c r="B1478" t="str">
        <v>Certificat d'aptitude à la conduite en sécurité R372 modifié engins de chantier catégorie 9 engins de manutention</v>
      </c>
      <c r="C1478" t="str">
        <v>Caisse Nationale de l'Assurance Maladie des Travailleurs (CNAMTS)</v>
      </c>
      <c r="D1478" t="str">
        <v>99999</v>
      </c>
      <c r="E1478" t="str">
        <f>HYPERLINK("http://www.intercariforef.org/formations/certification-55805.html","55805")</f>
        <v>55805</v>
      </c>
      <c r="F1478" s="1">
        <v>39254</v>
      </c>
      <c r="G1478" s="1">
        <v>42718</v>
      </c>
    </row>
    <row r="1479" ht="26.2" customHeight="1">
      <c r="A1479" t="str">
        <v>Manutention</v>
      </c>
      <c r="B1479" t="str">
        <v>Certificat d'aptitude à la conduite en sécurité R377 modifié grue à tour grue à tour à montage automatisé (GMA)</v>
      </c>
      <c r="C1479" t="str">
        <v>Caisse Nationale de l'Assurance Maladie des Travailleurs (CNAMTS)</v>
      </c>
      <c r="D1479" t="str">
        <v>99999</v>
      </c>
      <c r="E1479" t="str">
        <f>HYPERLINK("http://www.intercariforef.org/formations/certification-55814.html","55814")</f>
        <v>55814</v>
      </c>
      <c r="F1479" s="1">
        <v>39300</v>
      </c>
      <c r="G1479" s="1">
        <v>42718</v>
      </c>
    </row>
    <row r="1480" ht="26.2" customHeight="1">
      <c r="A1480" t="str">
        <v>Manutention</v>
      </c>
      <c r="B1480" t="str">
        <v>Certificat d'aptitude à la conduite en sécurité R377 modifié grue à tour grue à tour à montage par éléments (GME)</v>
      </c>
      <c r="C1480" t="str">
        <v>Caisse Nationale de l'Assurance Maladie des Travailleurs (CNAMTS)</v>
      </c>
      <c r="D1480" t="str">
        <v>99999</v>
      </c>
      <c r="E1480" t="str">
        <f>HYPERLINK("http://www.intercariforef.org/formations/certification-55813.html","55813")</f>
        <v>55813</v>
      </c>
      <c r="F1480" s="1">
        <v>39300</v>
      </c>
      <c r="G1480" s="1">
        <v>42718</v>
      </c>
    </row>
    <row r="1481" ht="26.2" customHeight="1">
      <c r="A1481" t="str">
        <v>Manutention</v>
      </c>
      <c r="B1481" t="str">
        <v>Certificat d'aptitude à la conduite en sécurité R383 modifié grues mobiles catégorie 1A mode de déplacement routier grue équipé d'un treillis</v>
      </c>
      <c r="C1481" t="str">
        <v>Caisse Nationale de l'Assurance Maladie des Travailleurs (CNAMTS)</v>
      </c>
      <c r="D1481" t="str">
        <v>99999</v>
      </c>
      <c r="E1481" t="str">
        <f>HYPERLINK("http://www.intercariforef.org/formations/certification-55817.html","55817")</f>
        <v>55817</v>
      </c>
      <c r="F1481" s="1">
        <v>39300</v>
      </c>
      <c r="G1481" s="1">
        <v>42718</v>
      </c>
    </row>
    <row r="1482" ht="26.2" customHeight="1">
      <c r="A1482" t="str">
        <v>Manutention</v>
      </c>
      <c r="B1482" t="str">
        <v>Certificat d'aptitude à la conduite en sécurité R383 modifié grues mobiles catégorie 1B mode de déplacement routier grue télescopique avec ou sans fléchette</v>
      </c>
      <c r="C1482" t="str">
        <v>Caisse Nationale de l'Assurance Maladie des Travailleurs (CNAMTS)</v>
      </c>
      <c r="D1482" t="str">
        <v>99999</v>
      </c>
      <c r="E1482" t="str">
        <f>HYPERLINK("http://www.intercariforef.org/formations/certification-55816.html","55816")</f>
        <v>55816</v>
      </c>
      <c r="F1482" s="1">
        <v>39300</v>
      </c>
      <c r="G1482" s="1">
        <v>42718</v>
      </c>
    </row>
    <row r="1483" ht="26.2" customHeight="1">
      <c r="A1483" t="str">
        <v>Manutention</v>
      </c>
      <c r="B1483" t="str">
        <v>Certificat d'aptitude à la conduite en sécurité R383 modifié grues mobiles catégorie 1C mode de déplacement routier grues mobiles à flèche spéciale</v>
      </c>
      <c r="C1483" t="str">
        <v>Caisse Nationale de l'Assurance Maladie des Travailleurs (CNAMTS)</v>
      </c>
      <c r="D1483" t="str">
        <v>99999</v>
      </c>
      <c r="E1483" t="str">
        <f>HYPERLINK("http://www.intercariforef.org/formations/certification-85338.html","85338")</f>
        <v>85338</v>
      </c>
      <c r="F1483" s="1">
        <v>42242</v>
      </c>
      <c r="G1483" s="1">
        <v>42718</v>
      </c>
    </row>
    <row r="1484" ht="26.2" customHeight="1">
      <c r="A1484" t="str">
        <v>Manutention</v>
      </c>
      <c r="B1484" t="str">
        <v>Certificat d'aptitude à la conduite en sécurité R383 modifié grues mobiles catégorie 2A mode déplacement non routier grue équipée d'un treillis</v>
      </c>
      <c r="C1484" t="str">
        <v>Caisse Nationale de l'Assurance Maladie des Travailleurs (CNAMTS)</v>
      </c>
      <c r="D1484" t="str">
        <v>99999</v>
      </c>
      <c r="E1484" t="str">
        <f>HYPERLINK("http://www.intercariforef.org/formations/certification-55819.html","55819")</f>
        <v>55819</v>
      </c>
      <c r="F1484" s="1">
        <v>39300</v>
      </c>
      <c r="G1484" s="1">
        <v>42718</v>
      </c>
    </row>
    <row r="1485" ht="26.2" customHeight="1">
      <c r="A1485" t="str">
        <v>Manutention</v>
      </c>
      <c r="B1485" t="str">
        <v>Certificat d'aptitude à la conduite en sécurité R383 modifié grues mobiles catégorie 2B mode de déplacement non routier grue télescopique avec ou sans fléchette</v>
      </c>
      <c r="C1485" t="str">
        <v>Caisse Nationale de l'Assurance Maladie des Travailleurs (CNAMTS)</v>
      </c>
      <c r="D1485" t="str">
        <v>99999</v>
      </c>
      <c r="E1485" t="str">
        <f>HYPERLINK("http://www.intercariforef.org/formations/certification-55815.html","55815")</f>
        <v>55815</v>
      </c>
      <c r="F1485" s="1">
        <v>39300</v>
      </c>
      <c r="G1485" s="1">
        <v>42718</v>
      </c>
    </row>
    <row r="1486" ht="26.2" customHeight="1">
      <c r="A1486" t="str">
        <v>Manutention</v>
      </c>
      <c r="B1486" t="str">
        <v>Certificat d'aptitude à la conduite en sécurité R383 modifié grues mobiles catégorie 2C mode de déplacement non routier grue avec équipement spécial</v>
      </c>
      <c r="C1486" t="str">
        <v>Caisse Nationale de l'Assurance Maladie des Travailleurs (CNAMTS)</v>
      </c>
      <c r="D1486" t="str">
        <v>99999</v>
      </c>
      <c r="E1486" t="str">
        <f>HYPERLINK("http://www.intercariforef.org/formations/certification-55818.html","55818")</f>
        <v>55818</v>
      </c>
      <c r="F1486" s="1">
        <v>39300</v>
      </c>
      <c r="G1486" s="1">
        <v>42718</v>
      </c>
    </row>
    <row r="1487" ht="26.2" customHeight="1">
      <c r="A1487" t="str">
        <v>Manutention</v>
      </c>
      <c r="B1487" t="str">
        <v>Certificat d'aptitude à la conduite en sécurité R386 plateforme-élévatrices mobiles de personnes (PEMP) catégorie 1A pas de déplacement de la nacelle avec élévation suivant un axe vertical</v>
      </c>
      <c r="C1487" t="str">
        <v>Caisse Nationale de l'Assurance Maladie des Travailleurs (CNAMTS)</v>
      </c>
      <c r="D1487" t="str">
        <v>99999</v>
      </c>
      <c r="E1487" t="str">
        <f>HYPERLINK("http://www.intercariforef.org/formations/certification-55820.html","55820")</f>
        <v>55820</v>
      </c>
      <c r="F1487" s="1">
        <v>39300</v>
      </c>
      <c r="G1487" s="1">
        <v>42718</v>
      </c>
    </row>
    <row r="1488" ht="39.3" customHeight="1">
      <c r="A1488" t="str">
        <v>Manutention</v>
      </c>
      <c r="B1488" t="str">
        <v>Certificat d'aptitude à la conduite en sécurité R386 plateforme-élévatrices mobiles de personnes (PEMP) catégorie 1B pas de déplacement de la nacelle (stabilisateurs) avec élévation multidirectionnelle</v>
      </c>
      <c r="C1488" t="str">
        <v>Caisse Nationale de l'Assurance Maladie des Travailleurs (CNAMTS)</v>
      </c>
      <c r="D1488" t="str">
        <v>99999</v>
      </c>
      <c r="E1488" t="str">
        <f>HYPERLINK("http://www.intercariforef.org/formations/certification-55822.html","55822")</f>
        <v>55822</v>
      </c>
      <c r="F1488" s="1">
        <v>39300</v>
      </c>
      <c r="G1488" s="1">
        <v>42718</v>
      </c>
    </row>
    <row r="1489" ht="39.3" customHeight="1">
      <c r="A1489" t="str">
        <v>Manutention</v>
      </c>
      <c r="B1489" t="str">
        <v>Certificat d'aptitude à la conduite en sécurité R386 plateforme-élévatrices mobiles de personnes (PEMP) catégorie 2A PEMP sur chassis porteurs (pas de stabilisateur) avec élévation suivant un axe vertical</v>
      </c>
      <c r="C1489" t="str">
        <v>Caisse Nationale de l'Assurance Maladie des Travailleurs (CNAMTS)</v>
      </c>
      <c r="D1489" t="str">
        <v>99999</v>
      </c>
      <c r="E1489" t="str">
        <f>HYPERLINK("http://www.intercariforef.org/formations/certification-55825.html","55825")</f>
        <v>55825</v>
      </c>
      <c r="F1489" s="1">
        <v>39300</v>
      </c>
      <c r="G1489" s="1">
        <v>42718</v>
      </c>
    </row>
    <row r="1490" ht="39.3" customHeight="1">
      <c r="A1490" t="str">
        <v>Manutention</v>
      </c>
      <c r="B1490" t="str">
        <v>Certificat d'aptitude à la conduite en sécurité R386 plateforme-élévatrices mobiles de personnes (PEMP) catégorie 2B PEMP sur châssis porteur (pas de stabilisateurs) avec élévation multirectionnelle</v>
      </c>
      <c r="C1490" t="str">
        <v>Caisse Nationale de l'Assurance Maladie des Travailleurs (CNAMTS)</v>
      </c>
      <c r="D1490" t="str">
        <v>99999</v>
      </c>
      <c r="E1490" t="str">
        <f>HYPERLINK("http://www.intercariforef.org/formations/certification-55823.html","55823")</f>
        <v>55823</v>
      </c>
      <c r="F1490" s="1">
        <v>39300</v>
      </c>
      <c r="G1490" s="1">
        <v>42718</v>
      </c>
    </row>
    <row r="1491" ht="39.3" customHeight="1">
      <c r="A1491" t="str">
        <v>Manutention</v>
      </c>
      <c r="B1491" t="str">
        <v>Certificat d'aptitude à la conduite en sécurité R386 plateforme-élévatrices mobiles de personnes (PEMP) catégorie 3A déplacement possible de la PEMP en position de travail (pas de stabilisateurs) avec élévation suivant un axe vertical</v>
      </c>
      <c r="C1491" t="str">
        <v>Caisse Nationale de l'Assurance Maladie des Travailleurs (CNAMTS)</v>
      </c>
      <c r="D1491" t="str">
        <v>99999</v>
      </c>
      <c r="E1491" t="str">
        <f>HYPERLINK("http://www.intercariforef.org/formations/certification-55821.html","55821")</f>
        <v>55821</v>
      </c>
      <c r="F1491" s="1">
        <v>39300</v>
      </c>
      <c r="G1491" s="1">
        <v>42718</v>
      </c>
    </row>
    <row r="1492" ht="39.3" customHeight="1">
      <c r="A1492" t="str">
        <v>Manutention</v>
      </c>
      <c r="B1492" t="str">
        <v>Certificat d'aptitude à la conduite en sécurité R386 plateforme-élévatrices mobiles de personnes (PEMP) catégorie 3B déplacement possible de la PEMP en position de travail (pas de stabilisateurs) avec élévation multidirectionnelle</v>
      </c>
      <c r="C1492" t="str">
        <v>Caisse Nationale de l'Assurance Maladie des Travailleurs (CNAMTS)</v>
      </c>
      <c r="D1492" t="str">
        <v>99999</v>
      </c>
      <c r="E1492" t="str">
        <f>HYPERLINK("http://www.intercariforef.org/formations/certification-55824.html","55824")</f>
        <v>55824</v>
      </c>
      <c r="F1492" s="1">
        <v>39300</v>
      </c>
      <c r="G1492" s="1">
        <v>42718</v>
      </c>
    </row>
    <row r="1493" ht="39.3" customHeight="1">
      <c r="A1493" t="str">
        <v>Manutention</v>
      </c>
      <c r="B1493" t="str">
        <v>Certificat d'aptitude à la conduite en sécurité R389 chariots automoteurs de manutention à conducteur porté catégorie 1 transpalettes à conducteur porté et préparateurs de commandes au sol (levée inférieure à 1 mètre)</v>
      </c>
      <c r="C1493" t="str">
        <v>Caisse Nationale de l'Assurance Maladie des Travailleurs (CNAMTS)</v>
      </c>
      <c r="D1493" t="str">
        <v>99999</v>
      </c>
      <c r="E1493" t="str">
        <f>HYPERLINK("http://www.intercariforef.org/formations/certification-55676.html","55676")</f>
        <v>55676</v>
      </c>
      <c r="F1493" s="1">
        <v>39300</v>
      </c>
      <c r="G1493" s="1">
        <v>42718</v>
      </c>
    </row>
    <row r="1494" ht="39.3" customHeight="1">
      <c r="A1494" t="str">
        <v>Manutention</v>
      </c>
      <c r="B1494" t="str">
        <v>Certificat d'aptitude à la conduite en sécurité R389 chariots automoteurs de manutention à conducteur porté catégorie 2 chariots tracteurs et à plateau porteur de capacité inférieure à 6 000 kg</v>
      </c>
      <c r="C1494" t="str">
        <v>Caisse Nationale de l'Assurance Maladie des Travailleurs (CNAMTS)</v>
      </c>
      <c r="D1494" t="str">
        <v>99999</v>
      </c>
      <c r="E1494" t="str">
        <f>HYPERLINK("http://www.intercariforef.org/formations/certification-55677.html","55677")</f>
        <v>55677</v>
      </c>
      <c r="F1494" s="1">
        <v>39300</v>
      </c>
      <c r="G1494" s="1">
        <v>42718</v>
      </c>
    </row>
    <row r="1495" ht="39.3" customHeight="1">
      <c r="A1495" t="str">
        <v>Manutention</v>
      </c>
      <c r="B1495" t="str">
        <v>Certificat d'aptitude à la conduite en sécurité R389 chariots automoteurs de manutention à conducteur porté catégorie 3 chariots élévateur en porte-à-faux de capacité inférieure ou égale à 6 000 kg</v>
      </c>
      <c r="C1495" t="str">
        <v>Caisse Nationale de l'Assurance Maladie des Travailleurs (CNAMTS)</v>
      </c>
      <c r="D1495" t="str">
        <v>99999</v>
      </c>
      <c r="E1495" t="str">
        <f>HYPERLINK("http://www.intercariforef.org/formations/certification-55675.html","55675")</f>
        <v>55675</v>
      </c>
      <c r="F1495" s="1">
        <v>39300</v>
      </c>
      <c r="G1495" s="1">
        <v>42718</v>
      </c>
    </row>
    <row r="1496" ht="26.2" customHeight="1">
      <c r="A1496" t="str">
        <v>Manutention</v>
      </c>
      <c r="B1496" t="str">
        <v>Certificat d'aptitude à la conduite en sécurité R389 chariots automoteurs de manutention à conducteur porté catégorie 4 chariots élévateur en porte-à-faux de capacité supérieure à 6 000 kg</v>
      </c>
      <c r="C1496" t="str">
        <v>Caisse Nationale de l'Assurance Maladie des Travailleurs (CNAMTS)</v>
      </c>
      <c r="D1496" t="str">
        <v>99999</v>
      </c>
      <c r="E1496" t="str">
        <f>HYPERLINK("http://www.intercariforef.org/formations/certification-55673.html","55673")</f>
        <v>55673</v>
      </c>
      <c r="F1496" s="1">
        <v>39300</v>
      </c>
      <c r="G1496" s="1">
        <v>42718</v>
      </c>
    </row>
    <row r="1497" ht="26.2" customHeight="1">
      <c r="A1497" t="str">
        <v>Manutention</v>
      </c>
      <c r="B1497" t="str">
        <v>Certificat d'aptitude à la conduite en sécurité R389 chariots automoteurs de manutention à conducteur porté catégorie 5 chariots élévateurs à mât rétractable</v>
      </c>
      <c r="C1497" t="str">
        <v>Caisse Nationale de l'Assurance Maladie des Travailleurs (CNAMTS)</v>
      </c>
      <c r="D1497" t="str">
        <v>99999</v>
      </c>
      <c r="E1497" t="str">
        <f>HYPERLINK("http://www.intercariforef.org/formations/certification-55827.html","55827")</f>
        <v>55827</v>
      </c>
      <c r="F1497" s="1">
        <v>39300</v>
      </c>
      <c r="G1497" s="1">
        <v>42718</v>
      </c>
    </row>
    <row r="1498" ht="39.3" customHeight="1">
      <c r="A1498" t="str">
        <v>Manutention</v>
      </c>
      <c r="B1498" t="str">
        <v>Certificat d'aptitude à la conduite en sécurité R389 chariots automoteurs de manutention à conducteur porté catégorie 6 déplacement chargement transfert de chariots sans activité de production (porte-engins) maintenance démonstration ou essais</v>
      </c>
      <c r="C1498" t="str">
        <v>Caisse Nationale de l'Assurance Maladie des Travailleurs (CNAMTS)</v>
      </c>
      <c r="D1498" t="str">
        <v>99999</v>
      </c>
      <c r="E1498" t="str">
        <f>HYPERLINK("http://www.intercariforef.org/formations/certification-55674.html","55674")</f>
        <v>55674</v>
      </c>
      <c r="F1498" s="1">
        <v>39300</v>
      </c>
      <c r="G1498" s="1">
        <v>42718</v>
      </c>
    </row>
    <row r="1499">
      <c r="A1499" t="str">
        <v>Manutention</v>
      </c>
      <c r="B1499" t="str">
        <v>Certificat d'aptitude à la conduite en sécurité R390 grues auxiliaires de chargement de véhicules</v>
      </c>
      <c r="C1499" t="str">
        <v>Caisse Nationale de l'Assurance Maladie des Travailleurs (CNAMTS)</v>
      </c>
      <c r="D1499" t="str">
        <v>99999</v>
      </c>
      <c r="E1499" t="str">
        <f>HYPERLINK("http://www.intercariforef.org/formations/certification-84700.html","84700")</f>
        <v>84700</v>
      </c>
      <c r="F1499" s="1">
        <v>42156</v>
      </c>
      <c r="G1499" s="1">
        <v>42718</v>
      </c>
    </row>
    <row r="1500" ht="26.2" customHeight="1">
      <c r="A1500" t="str">
        <v>Manutention</v>
      </c>
      <c r="B1500" t="str">
        <v>Certificat d'aptitude à la conduite en sécurité R390 grues auxiliaires de chargement de véhicules option télécommande</v>
      </c>
      <c r="C1500" t="str">
        <v>Caisse Nationale de l'Assurance Maladie des Travailleurs (CNAMTS)</v>
      </c>
      <c r="D1500" t="str">
        <v>99999</v>
      </c>
      <c r="E1500" t="str">
        <f>HYPERLINK("http://www.intercariforef.org/formations/certification-55826.html","55826")</f>
        <v>55826</v>
      </c>
      <c r="F1500" s="1">
        <v>39301</v>
      </c>
      <c r="G1500" s="1">
        <v>42718</v>
      </c>
    </row>
    <row r="1501" ht="26.2" customHeight="1">
      <c r="A1501" t="str">
        <v>Manutention</v>
      </c>
      <c r="B1501" t="str">
        <v>Certificat d'aptitude à la sécurité du travail en hauteur dans les remontées mécaniques et les domaines skiables - option : opérations suspendues</v>
      </c>
      <c r="C1501" t="str">
        <v>CPNE des remontées mécaniques et domaines skiables</v>
      </c>
      <c r="D1501" t="str">
        <f>HYPERLINK("https://inventaire.cncp.gouv.fr/fiches/2646/","2646")</f>
        <v>2646</v>
      </c>
      <c r="E1501" t="str">
        <f>HYPERLINK("http://www.intercariforef.org/formations/certification-95263.html","95263")</f>
        <v>95263</v>
      </c>
      <c r="F1501" s="1">
        <v>42851</v>
      </c>
      <c r="G1501" s="1">
        <v>42851</v>
      </c>
    </row>
    <row r="1502">
      <c r="A1502" t="str">
        <v>Manutention</v>
      </c>
      <c r="B1502" t="str">
        <v>Certificat d'aptitude à l'utilisation d'un pont roulant en sécurité R318</v>
      </c>
      <c r="C1502" t="str">
        <v>Caisse Nationale de l'Assurance Maladie des Travailleurs (CNAMTS)</v>
      </c>
      <c r="D1502" t="str">
        <v>99999</v>
      </c>
      <c r="E1502" t="str">
        <f>HYPERLINK("http://www.intercariforef.org/formations/certification-85312.html","85312")</f>
        <v>85312</v>
      </c>
      <c r="F1502" s="1">
        <v>42240</v>
      </c>
      <c r="G1502" s="1">
        <v>42718</v>
      </c>
    </row>
    <row r="1503">
      <c r="A1503" t="str">
        <v>Manutention</v>
      </c>
      <c r="B1503" t="str">
        <v>Certificat d'aptitude à l'utilisation d'un pont roulant en sécurité R423</v>
      </c>
      <c r="C1503" t="str">
        <v>Caisse Nationale de l'Assurance Maladie des Travailleurs (CNAMTS)</v>
      </c>
      <c r="D1503" t="str">
        <v>99999</v>
      </c>
      <c r="E1503" t="str">
        <f>HYPERLINK("http://www.intercariforef.org/formations/certification-84175.html","84175")</f>
        <v>84175</v>
      </c>
      <c r="F1503" s="1">
        <v>42058</v>
      </c>
      <c r="G1503" s="1">
        <v>42718</v>
      </c>
    </row>
    <row r="1504">
      <c r="A1504" t="str">
        <v>Matériau produit chimique</v>
      </c>
      <c r="B1504" t="str">
        <v>Certification à l'assurance qualité en industrie cosmétique - Certification QualiCos</v>
      </c>
      <c r="C1504" t="str">
        <v>Institut de formation industrie de santé (IFIS)</v>
      </c>
      <c r="D1504" t="str">
        <f>HYPERLINK("https://inventaire.cncp.gouv.fr/fiches/3084/","3084")</f>
        <v>3084</v>
      </c>
      <c r="E1504" t="str">
        <f>HYPERLINK("http://www.intercariforef.org/formations/certification-98507.html","98507")</f>
        <v>98507</v>
      </c>
      <c r="F1504" s="1">
        <v>43033</v>
      </c>
      <c r="G1504" s="1">
        <v>43033</v>
      </c>
    </row>
    <row r="1505" ht="26.2" customHeight="1">
      <c r="A1505" t="str">
        <v>Matériau produit chimique</v>
      </c>
      <c r="B1505" t="str">
        <v>Certification à l'audit interne ou externe d'entreprise du secteur cosmétique - Certification audiCOS</v>
      </c>
      <c r="C1505" t="str">
        <v>Institut de formation industrie de santé (IFIS)</v>
      </c>
      <c r="D1505" t="str">
        <f>HYPERLINK("https://inventaire.cncp.gouv.fr/fiches/2423/","2423")</f>
        <v>2423</v>
      </c>
      <c r="E1505" t="str">
        <f>HYPERLINK("http://www.intercariforef.org/formations/certification-93923.html","93923")</f>
        <v>93923</v>
      </c>
      <c r="F1505" s="1">
        <v>42744</v>
      </c>
      <c r="G1505" s="1">
        <v>42744</v>
      </c>
    </row>
    <row r="1506" ht="26.2" customHeight="1">
      <c r="A1506" t="str">
        <v>Matériau produit chimique</v>
      </c>
      <c r="B1506" t="str">
        <v>Certification de compétences et connaissances règlementaires sur les bonnes pratiques de fabrication des produits cosmétiques - Certification VisaeCos</v>
      </c>
      <c r="C1506" t="str">
        <v>Institut de formation industrie de santé (IFIS)</v>
      </c>
      <c r="D1506" t="str">
        <f>HYPERLINK("https://inventaire.cncp.gouv.fr/fiches/3189/","3189")</f>
        <v>3189</v>
      </c>
      <c r="E1506" t="str">
        <f>HYPERLINK("http://www.intercariforef.org/formations/certification-98503.html","98503")</f>
        <v>98503</v>
      </c>
      <c r="F1506" s="1">
        <v>43033</v>
      </c>
      <c r="G1506" s="1">
        <v>43033</v>
      </c>
    </row>
    <row r="1507">
      <c r="A1507" t="str">
        <v>Matériau produit chimique</v>
      </c>
      <c r="B1507" t="str">
        <v>COFREND Ressuage (PT) niveau 2 - secteur Fabrication et Maintenance (CIFM)</v>
      </c>
      <c r="C1507" t="str">
        <v>COFREND</v>
      </c>
      <c r="D1507" t="str">
        <f>HYPERLINK("https://inventaire.cncp.gouv.fr/fiches/474/","474")</f>
        <v>474</v>
      </c>
      <c r="E1507" t="str">
        <f>HYPERLINK("http://www.intercariforef.org/formations/certification-84604.html","84604")</f>
        <v>84604</v>
      </c>
      <c r="F1507" s="1">
        <v>42142</v>
      </c>
      <c r="G1507" s="1">
        <v>42979</v>
      </c>
    </row>
    <row r="1508">
      <c r="A1508" t="str">
        <v>Matériau produit chimique</v>
      </c>
      <c r="B1508" t="str">
        <v>Conduite de la bobineuse de la machine à papier</v>
      </c>
      <c r="C1508" t="str">
        <v>Union intersecteurs papiers cartons pour le dialogue et l'ingénierie sociale</v>
      </c>
      <c r="D1508" t="str">
        <f>HYPERLINK("https://inventaire.cncp.gouv.fr/fiches/2600/","2600")</f>
        <v>2600</v>
      </c>
      <c r="E1508" t="str">
        <f>HYPERLINK("http://www.intercariforef.org/formations/certification-101221.html","101221")</f>
        <v>101221</v>
      </c>
      <c r="F1508" s="1">
        <v>43251</v>
      </c>
      <c r="G1508" s="1">
        <v>43251</v>
      </c>
    </row>
    <row r="1509">
      <c r="A1509" t="str">
        <v>Matériau produit chimique</v>
      </c>
      <c r="B1509" t="str">
        <v>Conduite de la partie humide de la machine à papier</v>
      </c>
      <c r="C1509" t="str">
        <v>Union intersecteurs papiers cartons pour le dialogue et l'ingénierie sociale</v>
      </c>
      <c r="D1509" t="str">
        <f>HYPERLINK("https://inventaire.cncp.gouv.fr/fiches/2597/","2597")</f>
        <v>2597</v>
      </c>
      <c r="E1509" t="str">
        <f>HYPERLINK("http://www.intercariforef.org/formations/certification-101225.html","101225")</f>
        <v>101225</v>
      </c>
      <c r="F1509" s="1">
        <v>43251</v>
      </c>
      <c r="G1509" s="1">
        <v>43251</v>
      </c>
    </row>
    <row r="1510">
      <c r="A1510" t="str">
        <v>Matériau produit chimique</v>
      </c>
      <c r="B1510" t="str">
        <v>Conduite de la sècherie d'une machine à papier</v>
      </c>
      <c r="C1510" t="str">
        <v>Union intersecteurs papiers cartons pour le dialogue et l'ingénierie sociale</v>
      </c>
      <c r="D1510" t="str">
        <f>HYPERLINK("https://inventaire.cncp.gouv.fr/fiches/2599/","2599")</f>
        <v>2599</v>
      </c>
      <c r="E1510" t="str">
        <f>HYPERLINK("http://www.intercariforef.org/formations/certification-101223.html","101223")</f>
        <v>101223</v>
      </c>
      <c r="F1510" s="1">
        <v>43251</v>
      </c>
      <c r="G1510" s="1">
        <v>43251</v>
      </c>
    </row>
    <row r="1511">
      <c r="A1511" t="str">
        <v>Matériau produit chimique</v>
      </c>
      <c r="B1511" t="str">
        <v>Fabrication et contrôle de la conformité du papier</v>
      </c>
      <c r="C1511" t="str">
        <v>Union intersecteurs papiers cartons pour le dialogue et l'ingénierie sociale</v>
      </c>
      <c r="D1511" t="str">
        <f>HYPERLINK("https://inventaire.cncp.gouv.fr/fiches/3710/","3710")</f>
        <v>3710</v>
      </c>
      <c r="E1511" t="str">
        <f>HYPERLINK("http://www.intercariforef.org/formations/certification-101141.html","101141")</f>
        <v>101141</v>
      </c>
      <c r="F1511" s="1">
        <v>43250</v>
      </c>
      <c r="G1511" s="1">
        <v>43250</v>
      </c>
    </row>
    <row r="1512">
      <c r="A1512" t="str">
        <v>Matériau produit chimique</v>
      </c>
      <c r="B1512" t="str">
        <v>Gestion de la station d'encre</v>
      </c>
      <c r="C1512" t="str">
        <v>Union intersecteurs papiers cartons pour le dialogue et l'ingénierie sociale</v>
      </c>
      <c r="D1512" t="str">
        <f>HYPERLINK("https://inventaire.cncp.gouv.fr/fiches/3964/","3964")</f>
        <v>3964</v>
      </c>
      <c r="E1512" t="str">
        <f>HYPERLINK("http://www.intercariforef.org/formations/certification-104099.html","104099")</f>
        <v>104099</v>
      </c>
      <c r="F1512" s="1">
        <v>43398</v>
      </c>
      <c r="G1512" s="1">
        <v>43398</v>
      </c>
    </row>
    <row r="1513">
      <c r="A1513" t="str">
        <v>Matériau produit chimique</v>
      </c>
      <c r="B1513" t="str">
        <v>Gestion des outillages d'impression et de façonnage du papier carton</v>
      </c>
      <c r="C1513" t="str">
        <v>Union intersecteurs papiers cartons pour le dialogue et l'ingénierie sociale</v>
      </c>
      <c r="D1513" t="str">
        <f>HYPERLINK("https://inventaire.cncp.gouv.fr/fiches/3965/","3965")</f>
        <v>3965</v>
      </c>
      <c r="E1513" t="str">
        <f>HYPERLINK("http://www.intercariforef.org/formations/certification-104097.html","104097")</f>
        <v>104097</v>
      </c>
      <c r="F1513" s="1">
        <v>43398</v>
      </c>
      <c r="G1513" s="1">
        <v>43398</v>
      </c>
    </row>
    <row r="1514">
      <c r="A1514" t="str">
        <v>Matériau produit chimique</v>
      </c>
      <c r="B1514" t="str">
        <v>Préparation de pâtes à papier</v>
      </c>
      <c r="C1514" t="str">
        <v>Union intersecteurs papiers cartons pour le dialogue et l'ingénierie sociale</v>
      </c>
      <c r="D1514" t="str">
        <f>HYPERLINK("https://inventaire.cncp.gouv.fr/fiches/2596/","2596")</f>
        <v>2596</v>
      </c>
      <c r="E1514" t="str">
        <f>HYPERLINK("http://www.intercariforef.org/formations/certification-101227.html","101227")</f>
        <v>101227</v>
      </c>
      <c r="F1514" s="1">
        <v>43251</v>
      </c>
      <c r="G1514" s="1">
        <v>43251</v>
      </c>
    </row>
    <row r="1515" ht="26.2" customHeight="1">
      <c r="A1515" t="str">
        <v>Matériau produit chimique</v>
      </c>
      <c r="B1515" t="str">
        <v>Qualification de revêtements sur béton et stratification (QRB Niveau 1) opérateurs sur sites nucléaires</v>
      </c>
      <c r="C1515" t="str">
        <v>EDF, Groupement des entrepreneurs de peinture industrielle, Céforas, IPRS</v>
      </c>
      <c r="D1515" t="str">
        <f>HYPERLINK("https://inventaire.cncp.gouv.fr/fiches/1256/","1256")</f>
        <v>1256</v>
      </c>
      <c r="E1515" t="str">
        <f>HYPERLINK("http://www.intercariforef.org/formations/certification-86472.html","86472")</f>
        <v>86472</v>
      </c>
      <c r="F1515" s="1">
        <v>42342</v>
      </c>
      <c r="G1515" s="1">
        <v>42342</v>
      </c>
    </row>
    <row r="1516" ht="39.3" customHeight="1">
      <c r="A1516" t="str">
        <v>Matériau produit chimique</v>
      </c>
      <c r="B1516" t="str">
        <v>Qualification de revêtements sur béton et stratification (QRB Niveau 2) chargés de contrôles et de vérification technique des travaux de peinture, revêtement et stratification sur sites nucléaires</v>
      </c>
      <c r="C1516" t="str">
        <v>EDF, Groupement des entrepreneurs de peinture industrielle, Céforas, IPRS</v>
      </c>
      <c r="D1516" t="str">
        <f>HYPERLINK("https://inventaire.cncp.gouv.fr/fiches/1257/","1257")</f>
        <v>1257</v>
      </c>
      <c r="E1516" t="str">
        <f>HYPERLINK("http://www.intercariforef.org/formations/certification-86446.html","86446")</f>
        <v>86446</v>
      </c>
      <c r="F1516" s="1">
        <v>42341</v>
      </c>
      <c r="G1516" s="1">
        <v>42342</v>
      </c>
    </row>
    <row r="1517">
      <c r="A1517" t="str">
        <v>Mathématique</v>
      </c>
      <c r="B1517" t="str">
        <v>Certification IBM Certified Specialist - SPSS Statistics</v>
      </c>
      <c r="C1517" t="str">
        <v>IBM</v>
      </c>
      <c r="D1517" t="str">
        <f>HYPERLINK("https://inventaire.cncp.gouv.fr/fiches/693/","693")</f>
        <v>693</v>
      </c>
      <c r="E1517" t="str">
        <f>HYPERLINK("http://www.intercariforef.org/formations/certification-84973.html","84973")</f>
        <v>84973</v>
      </c>
      <c r="F1517" s="1">
        <v>42178</v>
      </c>
      <c r="G1517" s="1">
        <v>42718</v>
      </c>
    </row>
    <row r="1518" ht="26.2" customHeight="1">
      <c r="A1518" t="str">
        <v>Mathématique</v>
      </c>
      <c r="B1518" t="str">
        <v>Data analyst : Exploiter, analyser des données structurées et réaliser des études statistiques</v>
      </c>
      <c r="C1518" t="str">
        <v>Groupe des Écoles Nationales d'Économie et Statistique (Genes), Ensae Ensai formation continue (Cepe)</v>
      </c>
      <c r="D1518" t="str">
        <f>HYPERLINK("https://inventaire.cncp.gouv.fr/fiches/2788/","2788")</f>
        <v>2788</v>
      </c>
      <c r="E1518" t="str">
        <f>HYPERLINK("http://www.intercariforef.org/formations/certification-95629.html","95629")</f>
        <v>95629</v>
      </c>
      <c r="F1518" s="1">
        <v>42893</v>
      </c>
      <c r="G1518" s="1">
        <v>42893</v>
      </c>
    </row>
    <row r="1519">
      <c r="A1519" t="str">
        <v>Mathématique</v>
      </c>
      <c r="B1519" t="str">
        <v>IBM Certified Specialist - Cognos TM1 Data Analysis</v>
      </c>
      <c r="C1519" t="str">
        <v>IBM</v>
      </c>
      <c r="D1519" t="str">
        <f>HYPERLINK("https://inventaire.cncp.gouv.fr/fiches/1031/","1031")</f>
        <v>1031</v>
      </c>
      <c r="E1519" t="str">
        <f>HYPERLINK("http://www.intercariforef.org/formations/certification-85009.html","85009")</f>
        <v>85009</v>
      </c>
      <c r="F1519" s="1">
        <v>42184</v>
      </c>
      <c r="G1519" s="1">
        <v>42184</v>
      </c>
    </row>
    <row r="1520">
      <c r="A1520" t="str">
        <v>Mathématique</v>
      </c>
      <c r="B1520" t="str">
        <v>Optimisation numérique et Data Science</v>
      </c>
      <c r="C1520" t="str">
        <v>Artelys</v>
      </c>
      <c r="D1520" t="str">
        <f>HYPERLINK("https://inventaire.cncp.gouv.fr/fiches/3231/","3231")</f>
        <v>3231</v>
      </c>
      <c r="E1520" t="str">
        <f>HYPERLINK("http://www.intercariforef.org/formations/certification-102445.html","102445")</f>
        <v>102445</v>
      </c>
      <c r="F1520" s="1">
        <v>43298</v>
      </c>
      <c r="G1520" s="1">
        <v>43298</v>
      </c>
    </row>
    <row r="1521">
      <c r="A1521" t="str">
        <v>Mécanique construction réparation</v>
      </c>
      <c r="B1521" t="str">
        <v>Analyse de schémas en clapets logiques</v>
      </c>
      <c r="C1521" t="str">
        <v>CPNE de la métallurgie</v>
      </c>
      <c r="D1521" t="str">
        <f>HYPERLINK("https://inventaire.cncp.gouv.fr/fiches/2763/","2763")</f>
        <v>2763</v>
      </c>
      <c r="E1521" t="str">
        <f>HYPERLINK("http://www.intercariforef.org/formations/certification-94801.html","94801")</f>
        <v>94801</v>
      </c>
      <c r="F1521" s="1">
        <v>42836</v>
      </c>
      <c r="G1521" s="1">
        <v>42836</v>
      </c>
    </row>
    <row r="1522">
      <c r="A1522" t="str">
        <v>Mécanique construction réparation</v>
      </c>
      <c r="B1522" t="str">
        <v>CATIA Conception Mécanique</v>
      </c>
      <c r="C1522" t="str">
        <v>3ds</v>
      </c>
      <c r="D1522" t="str">
        <f>HYPERLINK("https://inventaire.cncp.gouv.fr/fiches/1946/","1946")</f>
        <v>1946</v>
      </c>
      <c r="E1522" t="str">
        <f>HYPERLINK("http://www.intercariforef.org/formations/certification-88605.html","88605")</f>
        <v>88605</v>
      </c>
      <c r="F1522" s="1">
        <v>42482</v>
      </c>
      <c r="G1522" s="1">
        <v>42482</v>
      </c>
    </row>
    <row r="1523">
      <c r="A1523" t="str">
        <v>Mécanique construction réparation</v>
      </c>
      <c r="B1523" t="str">
        <v>Certification Métrologie 3 D</v>
      </c>
      <c r="C1523" t="str">
        <v>COFFMET</v>
      </c>
      <c r="D1523" t="str">
        <f>HYPERLINK("https://inventaire.cncp.gouv.fr/fiches/2252/","2252")</f>
        <v>2252</v>
      </c>
      <c r="E1523" t="str">
        <f>HYPERLINK("http://www.intercariforef.org/formations/certification-89967.html","89967")</f>
        <v>89967</v>
      </c>
      <c r="F1523" s="1">
        <v>42557</v>
      </c>
      <c r="G1523" s="1">
        <v>42557</v>
      </c>
    </row>
    <row r="1524">
      <c r="A1524" t="str">
        <v>Mécanique construction réparation</v>
      </c>
      <c r="B1524" t="str">
        <v>Certification Métrologie 3 D Expert</v>
      </c>
      <c r="C1524" t="str">
        <v>COFFMET</v>
      </c>
      <c r="D1524" t="str">
        <f>HYPERLINK("https://inventaire.cncp.gouv.fr/fiches/2253/","2253")</f>
        <v>2253</v>
      </c>
      <c r="E1524" t="str">
        <f>HYPERLINK("http://www.intercariforef.org/formations/certification-89961.html","89961")</f>
        <v>89961</v>
      </c>
      <c r="F1524" s="1">
        <v>42557</v>
      </c>
      <c r="G1524" s="1">
        <v>42557</v>
      </c>
    </row>
    <row r="1525">
      <c r="A1525" t="str">
        <v>Mécanique construction réparation</v>
      </c>
      <c r="B1525" t="str">
        <v>Certification utilisation machine à mesurer 3D</v>
      </c>
      <c r="C1525" t="str">
        <v>COFFMET</v>
      </c>
      <c r="D1525" t="str">
        <f>HYPERLINK("https://inventaire.cncp.gouv.fr/fiches/2251/","2251")</f>
        <v>2251</v>
      </c>
      <c r="E1525" t="str">
        <f>HYPERLINK("http://www.intercariforef.org/formations/certification-89969.html","89969")</f>
        <v>89969</v>
      </c>
      <c r="F1525" s="1">
        <v>42557</v>
      </c>
      <c r="G1525" s="1">
        <v>42557</v>
      </c>
    </row>
    <row r="1526">
      <c r="A1526" t="str">
        <v>Mécanique construction réparation</v>
      </c>
      <c r="B1526" t="str">
        <v>Contrôle du degré de contamination d'un fluide et lubrification</v>
      </c>
      <c r="C1526" t="str">
        <v>CPNE de la métallurgie</v>
      </c>
      <c r="D1526" t="str">
        <f>HYPERLINK("https://inventaire.cncp.gouv.fr/fiches/2767/","2767")</f>
        <v>2767</v>
      </c>
      <c r="E1526" t="str">
        <f>HYPERLINK("http://www.intercariforef.org/formations/certification-94791.html","94791")</f>
        <v>94791</v>
      </c>
      <c r="F1526" s="1">
        <v>42836</v>
      </c>
      <c r="G1526" s="1">
        <v>42979</v>
      </c>
    </row>
    <row r="1527">
      <c r="A1527" t="str">
        <v>Mécanique construction réparation</v>
      </c>
      <c r="B1527" t="str">
        <v>Contrôle et réglage sur les systèmes proportionnels</v>
      </c>
      <c r="C1527" t="str">
        <v>CPNE de la métallurgie</v>
      </c>
      <c r="D1527" t="str">
        <f>HYPERLINK("https://inventaire.cncp.gouv.fr/fiches/2764/","2764")</f>
        <v>2764</v>
      </c>
      <c r="E1527" t="str">
        <f>HYPERLINK("http://www.intercariforef.org/formations/certification-94797.html","94797")</f>
        <v>94797</v>
      </c>
      <c r="F1527" s="1">
        <v>42836</v>
      </c>
      <c r="G1527" s="1">
        <v>42836</v>
      </c>
    </row>
    <row r="1528">
      <c r="A1528" t="str">
        <v>Mécanique construction réparation</v>
      </c>
      <c r="B1528" t="str">
        <v>Entretien à caractère préventif sur des systèmes hydrauliques</v>
      </c>
      <c r="C1528" t="str">
        <v>CPNE de la métallurgie</v>
      </c>
      <c r="D1528" t="str">
        <f>HYPERLINK("https://inventaire.cncp.gouv.fr/fiches/2762/","2762")</f>
        <v>2762</v>
      </c>
      <c r="E1528" t="str">
        <f>HYPERLINK("http://www.intercariforef.org/formations/certification-94805.html","94805")</f>
        <v>94805</v>
      </c>
      <c r="F1528" s="1">
        <v>42836</v>
      </c>
      <c r="G1528" s="1">
        <v>42836</v>
      </c>
    </row>
    <row r="1529">
      <c r="A1529" t="str">
        <v>Mécanique construction réparation</v>
      </c>
      <c r="B1529" t="str">
        <v>La navigabilité des aéronefs civils et étatiques</v>
      </c>
      <c r="C1529" t="str">
        <v>EUROSAE</v>
      </c>
      <c r="D1529" t="str">
        <f>HYPERLINK("https://inventaire.cncp.gouv.fr/fiches/2612/","2612")</f>
        <v>2612</v>
      </c>
      <c r="E1529" t="str">
        <f>HYPERLINK("http://www.intercariforef.org/formations/certification-100627.html","100627")</f>
        <v>100627</v>
      </c>
      <c r="F1529" s="1">
        <v>43193</v>
      </c>
      <c r="G1529" s="1">
        <v>43193</v>
      </c>
    </row>
    <row r="1530">
      <c r="A1530" t="str">
        <v>Mécanique construction réparation</v>
      </c>
      <c r="B1530" t="str">
        <v>Licence de mécanicien A1</v>
      </c>
      <c r="C1530" t="str">
        <v>Ministère de la transition écologique et solidaire</v>
      </c>
      <c r="D1530" t="str">
        <f>HYPERLINK("https://inventaire.cncp.gouv.fr/fiches/2015/","2015")</f>
        <v>2015</v>
      </c>
      <c r="E1530" t="str">
        <f>HYPERLINK("http://www.intercariforef.org/formations/certification-88671.html","88671")</f>
        <v>88671</v>
      </c>
      <c r="F1530" s="1">
        <v>42487</v>
      </c>
      <c r="G1530" s="1">
        <v>43111</v>
      </c>
    </row>
    <row r="1531">
      <c r="A1531" t="str">
        <v>Mécanique construction réparation</v>
      </c>
      <c r="B1531" t="str">
        <v>Licence de mécanicien A2</v>
      </c>
      <c r="C1531" t="str">
        <v>Ministère de la transition écologique et solidaire</v>
      </c>
      <c r="D1531" t="str">
        <f>HYPERLINK("https://inventaire.cncp.gouv.fr/fiches/2018/","2018")</f>
        <v>2018</v>
      </c>
      <c r="E1531" t="str">
        <f>HYPERLINK("http://www.intercariforef.org/formations/certification-88673.html","88673")</f>
        <v>88673</v>
      </c>
      <c r="F1531" s="1">
        <v>42487</v>
      </c>
      <c r="G1531" s="1">
        <v>43111</v>
      </c>
    </row>
    <row r="1532">
      <c r="A1532" t="str">
        <v>Mécanique construction réparation</v>
      </c>
      <c r="B1532" t="str">
        <v>Licence de mécanicien A3</v>
      </c>
      <c r="C1532" t="str">
        <v>Ministère de la transition écologique et solidaire</v>
      </c>
      <c r="D1532" t="str">
        <f>HYPERLINK("https://inventaire.cncp.gouv.fr/fiches/2019/","2019")</f>
        <v>2019</v>
      </c>
      <c r="E1532" t="str">
        <f>HYPERLINK("http://www.intercariforef.org/formations/certification-88665.html","88665")</f>
        <v>88665</v>
      </c>
      <c r="F1532" s="1">
        <v>42487</v>
      </c>
      <c r="G1532" s="1">
        <v>43111</v>
      </c>
    </row>
    <row r="1533">
      <c r="A1533" t="str">
        <v>Mécanique construction réparation</v>
      </c>
      <c r="B1533" t="str">
        <v>Licence de mécanicien A4</v>
      </c>
      <c r="C1533" t="str">
        <v>Ministère de la transition écologique et solidaire</v>
      </c>
      <c r="D1533" t="str">
        <f>HYPERLINK("https://inventaire.cncp.gouv.fr/fiches/2021/","2021")</f>
        <v>2021</v>
      </c>
      <c r="E1533" t="str">
        <f>HYPERLINK("http://www.intercariforef.org/formations/certification-88663.html","88663")</f>
        <v>88663</v>
      </c>
      <c r="F1533" s="1">
        <v>42487</v>
      </c>
      <c r="G1533" s="1">
        <v>43111</v>
      </c>
    </row>
    <row r="1534">
      <c r="A1534" t="str">
        <v>Mécanique construction réparation</v>
      </c>
      <c r="B1534" t="str">
        <v>Licence de mécanicien B1.1</v>
      </c>
      <c r="C1534" t="str">
        <v>Ministère de la transition écologique et solidaire</v>
      </c>
      <c r="D1534" t="str">
        <f>HYPERLINK("https://inventaire.cncp.gouv.fr/fiches/694/","694")</f>
        <v>694</v>
      </c>
      <c r="E1534" t="str">
        <f>HYPERLINK("http://www.intercariforef.org/formations/certification-84731.html","84731")</f>
        <v>84731</v>
      </c>
      <c r="F1534" s="1">
        <v>42156</v>
      </c>
      <c r="G1534" s="1">
        <v>43111</v>
      </c>
    </row>
    <row r="1535">
      <c r="A1535" t="str">
        <v>Mécanique construction réparation</v>
      </c>
      <c r="B1535" t="str">
        <v>Licence de mécanicien B1.2</v>
      </c>
      <c r="C1535" t="str">
        <v>Ministère de la transition écologique et solidaire</v>
      </c>
      <c r="D1535" t="str">
        <f>HYPERLINK("https://inventaire.cncp.gouv.fr/fiches/699/","699")</f>
        <v>699</v>
      </c>
      <c r="E1535" t="str">
        <f>HYPERLINK("http://www.intercariforef.org/formations/certification-84727.html","84727")</f>
        <v>84727</v>
      </c>
      <c r="F1535" s="1">
        <v>42156</v>
      </c>
      <c r="G1535" s="1">
        <v>43111</v>
      </c>
    </row>
    <row r="1536">
      <c r="A1536" t="str">
        <v>Mécanique construction réparation</v>
      </c>
      <c r="B1536" t="str">
        <v>Licence de mécanicien B1.3</v>
      </c>
      <c r="C1536" t="str">
        <v>Ministère de la transition écologique et solidaire</v>
      </c>
      <c r="D1536" t="str">
        <f>HYPERLINK("https://inventaire.cncp.gouv.fr/fiches/704/","704")</f>
        <v>704</v>
      </c>
      <c r="E1536" t="str">
        <f>HYPERLINK("http://www.intercariforef.org/formations/certification-84730.html","84730")</f>
        <v>84730</v>
      </c>
      <c r="F1536" s="1">
        <v>42156</v>
      </c>
      <c r="G1536" s="1">
        <v>43111</v>
      </c>
    </row>
    <row r="1537">
      <c r="A1537" t="str">
        <v>Mécanique construction réparation</v>
      </c>
      <c r="B1537" t="str">
        <v>Licence de mécanicien B1.4</v>
      </c>
      <c r="C1537" t="str">
        <v>Ministère de la transition écologique et solidaire</v>
      </c>
      <c r="D1537" t="str">
        <f>HYPERLINK("https://inventaire.cncp.gouv.fr/fiches/702/","702")</f>
        <v>702</v>
      </c>
      <c r="E1537" t="str">
        <f>HYPERLINK("http://www.intercariforef.org/formations/certification-84729.html","84729")</f>
        <v>84729</v>
      </c>
      <c r="F1537" s="1">
        <v>42156</v>
      </c>
      <c r="G1537" s="1">
        <v>43111</v>
      </c>
    </row>
    <row r="1538">
      <c r="A1538" t="str">
        <v>Mécanique construction réparation</v>
      </c>
      <c r="B1538" t="str">
        <v>Licence de mécanicien C aéronefs autres que lourds</v>
      </c>
      <c r="C1538" t="str">
        <v>Ministère de la transition écologique et solidaire</v>
      </c>
      <c r="D1538" t="str">
        <f>HYPERLINK("https://inventaire.cncp.gouv.fr/fiches/2023/","2023")</f>
        <v>2023</v>
      </c>
      <c r="E1538" t="str">
        <f>HYPERLINK("http://www.intercariforef.org/formations/certification-88667.html","88667")</f>
        <v>88667</v>
      </c>
      <c r="F1538" s="1">
        <v>42487</v>
      </c>
      <c r="G1538" s="1">
        <v>43111</v>
      </c>
    </row>
    <row r="1539">
      <c r="A1539" t="str">
        <v>Mécanique construction réparation</v>
      </c>
      <c r="B1539" t="str">
        <v>Licence de mécanicien C aéronefs lourds</v>
      </c>
      <c r="C1539" t="str">
        <v>Ministère de la transition écologique et solidaire</v>
      </c>
      <c r="D1539" t="str">
        <f>HYPERLINK("https://inventaire.cncp.gouv.fr/fiches/2022/","2022")</f>
        <v>2022</v>
      </c>
      <c r="E1539" t="str">
        <f>HYPERLINK("http://www.intercariforef.org/formations/certification-88669.html","88669")</f>
        <v>88669</v>
      </c>
      <c r="F1539" s="1">
        <v>42487</v>
      </c>
      <c r="G1539" s="1">
        <v>43111</v>
      </c>
    </row>
    <row r="1540">
      <c r="A1540" t="str">
        <v>Mécanique construction réparation</v>
      </c>
      <c r="B1540" t="str">
        <v>Management d'équipe de production aéronautique de premier niveau</v>
      </c>
      <c r="C1540" t="str">
        <v>Airbus Group Leadership University</v>
      </c>
      <c r="D1540" t="str">
        <f>HYPERLINK("https://inventaire.cncp.gouv.fr/fiches/2215/","2215")</f>
        <v>2215</v>
      </c>
      <c r="E1540" t="str">
        <f>HYPERLINK("http://www.intercariforef.org/formations/certification-91895.html","91895")</f>
        <v>91895</v>
      </c>
      <c r="F1540" s="1">
        <v>42662</v>
      </c>
      <c r="G1540" s="1">
        <v>42662</v>
      </c>
    </row>
    <row r="1541">
      <c r="A1541" t="str">
        <v>Mécanique construction réparation</v>
      </c>
      <c r="B1541" t="str">
        <v>Mécanique de la rupture pour l'ingénieur - Initiation</v>
      </c>
      <c r="C1541" t="str">
        <v>Centrale Supélec</v>
      </c>
      <c r="D1541" t="str">
        <f>HYPERLINK("https://inventaire.cncp.gouv.fr/fiches/2883/","2883")</f>
        <v>2883</v>
      </c>
      <c r="E1541" t="str">
        <f>HYPERLINK("http://www.intercariforef.org/formations/certification-99243.html","99243")</f>
        <v>99243</v>
      </c>
      <c r="F1541" s="1">
        <v>43080</v>
      </c>
      <c r="G1541" s="1">
        <v>43080</v>
      </c>
    </row>
    <row r="1542">
      <c r="A1542" t="str">
        <v>Mécanique construction réparation</v>
      </c>
      <c r="B1542" t="str">
        <v>Mécanique de la rupture pour l'ingénieur - Outils et démarches</v>
      </c>
      <c r="C1542" t="str">
        <v>Centrale Supélec</v>
      </c>
      <c r="D1542" t="str">
        <f>HYPERLINK("https://inventaire.cncp.gouv.fr/fiches/2884/","2884")</f>
        <v>2884</v>
      </c>
      <c r="E1542" t="str">
        <f>HYPERLINK("http://www.intercariforef.org/formations/certification-99245.html","99245")</f>
        <v>99245</v>
      </c>
      <c r="F1542" s="1">
        <v>43080</v>
      </c>
      <c r="G1542" s="1">
        <v>43080</v>
      </c>
    </row>
    <row r="1543">
      <c r="A1543" t="str">
        <v>Mécanique construction réparation</v>
      </c>
      <c r="B1543" t="str">
        <v>Mise en oeuvre des asservissements électrohydrauliques</v>
      </c>
      <c r="C1543" t="str">
        <v>CPNE de la métallurgie</v>
      </c>
      <c r="D1543" t="str">
        <f>HYPERLINK("https://inventaire.cncp.gouv.fr/fiches/2765/","2765")</f>
        <v>2765</v>
      </c>
      <c r="E1543" t="str">
        <f>HYPERLINK("http://www.intercariforef.org/formations/certification-94795.html","94795")</f>
        <v>94795</v>
      </c>
      <c r="F1543" s="1">
        <v>42836</v>
      </c>
      <c r="G1543" s="1">
        <v>42836</v>
      </c>
    </row>
    <row r="1544">
      <c r="A1544" t="str">
        <v>Mécanique construction réparation</v>
      </c>
      <c r="B1544" t="str">
        <v>Module 10 législation aéronautique (connaissances de base mécanicien aéronautique)</v>
      </c>
      <c r="C1544" t="str">
        <v>Ministère de la transition écologique et solidaire, Direction générale de l'aviation civile</v>
      </c>
      <c r="D1544" t="str">
        <f>HYPERLINK("https://inventaire.cncp.gouv.fr/fiches/1142/","1142")</f>
        <v>1142</v>
      </c>
      <c r="E1544" t="str">
        <f>HYPERLINK("http://www.intercariforef.org/formations/certification-85624.html","85624")</f>
        <v>85624</v>
      </c>
      <c r="F1544" s="1">
        <v>42269</v>
      </c>
      <c r="G1544" s="1">
        <v>43111</v>
      </c>
    </row>
    <row r="1545" ht="26.2" customHeight="1">
      <c r="A1545" t="str">
        <v>Mécanique construction réparation</v>
      </c>
      <c r="B1545" t="str">
        <v>Module 11A aérodynamique des avions à turbine, structures et systèmes (connaissances de base mécanicien aéronautique)</v>
      </c>
      <c r="C1545" t="str">
        <v>Ministère de la transition écologique et solidaire, Direction générale de l'aviation civile</v>
      </c>
      <c r="D1545" t="str">
        <f>HYPERLINK("https://inventaire.cncp.gouv.fr/fiches/1144/","1144")</f>
        <v>1144</v>
      </c>
      <c r="E1545" t="str">
        <f>HYPERLINK("http://www.intercariforef.org/formations/certification-85626.html","85626")</f>
        <v>85626</v>
      </c>
      <c r="F1545" s="1">
        <v>42269</v>
      </c>
      <c r="G1545" s="1">
        <v>43111</v>
      </c>
    </row>
    <row r="1546" ht="26.2" customHeight="1">
      <c r="A1546" t="str">
        <v>Mécanique construction réparation</v>
      </c>
      <c r="B1546" t="str">
        <v>Module 11B aérodynamique des avions à pistons, structures et systèmes (connaissances de base mécanicien aéronautique)</v>
      </c>
      <c r="C1546" t="str">
        <v>Ministère de la transition écologique et solidaire, Direction générale de l'aviation civile</v>
      </c>
      <c r="D1546" t="str">
        <f>HYPERLINK("https://inventaire.cncp.gouv.fr/fiches/1145/","1145")</f>
        <v>1145</v>
      </c>
      <c r="E1546" t="str">
        <f>HYPERLINK("http://www.intercariforef.org/formations/certification-85627.html","85627")</f>
        <v>85627</v>
      </c>
      <c r="F1546" s="1">
        <v>42269</v>
      </c>
      <c r="G1546" s="1">
        <v>43111</v>
      </c>
    </row>
    <row r="1547" ht="26.2" customHeight="1">
      <c r="A1547" t="str">
        <v>Mécanique construction réparation</v>
      </c>
      <c r="B1547" t="str">
        <v>Module 11C aérodynamique des avions à pistons, structures et systèmes (connaissances de base mécanicien aéronautique)</v>
      </c>
      <c r="C1547" t="str">
        <v>Ministère de la transition écologique et solidaire, Direction générale de l'aviation civile</v>
      </c>
      <c r="D1547" t="str">
        <f>HYPERLINK("https://inventaire.cncp.gouv.fr/fiches/1146/","1146")</f>
        <v>1146</v>
      </c>
      <c r="E1547" t="str">
        <f>HYPERLINK("http://www.intercariforef.org/formations/certification-85628.html","85628")</f>
        <v>85628</v>
      </c>
      <c r="F1547" s="1">
        <v>42269</v>
      </c>
      <c r="G1547" s="1">
        <v>43111</v>
      </c>
    </row>
    <row r="1548" ht="26.2" customHeight="1">
      <c r="A1548" t="str">
        <v>Mécanique construction réparation</v>
      </c>
      <c r="B1548" t="str">
        <v>Module 12 Aérodynamique des Hélicoptères, structures et systèmes (connaissances de base mécanicien aéronautique)</v>
      </c>
      <c r="C1548" t="str">
        <v>Ministère de la transition écologique et solidaire, Direction générale de l'aviation civile</v>
      </c>
      <c r="D1548" t="str">
        <f>HYPERLINK("https://inventaire.cncp.gouv.fr/fiches/1150/","1150")</f>
        <v>1150</v>
      </c>
      <c r="E1548" t="str">
        <f>HYPERLINK("http://www.intercariforef.org/formations/certification-85629.html","85629")</f>
        <v>85629</v>
      </c>
      <c r="F1548" s="1">
        <v>42269</v>
      </c>
      <c r="G1548" s="1">
        <v>43111</v>
      </c>
    </row>
    <row r="1549" ht="26.2" customHeight="1">
      <c r="A1549" t="str">
        <v>Mécanique construction réparation</v>
      </c>
      <c r="B1549" t="str">
        <v>Module 13 Aérodynamique des Aéronefs, structures et systèmes (connaissances de base: mécanicien aéronautique)</v>
      </c>
      <c r="C1549" t="str">
        <v>Ministère de la transition écologique et solidaire, Direction générale de l'aviation civile</v>
      </c>
      <c r="D1549" t="str">
        <f>HYPERLINK("https://inventaire.cncp.gouv.fr/fiches/1151/","1151")</f>
        <v>1151</v>
      </c>
      <c r="E1549" t="str">
        <f>HYPERLINK("http://www.intercariforef.org/formations/certification-85630.html","85630")</f>
        <v>85630</v>
      </c>
      <c r="F1549" s="1">
        <v>42269</v>
      </c>
      <c r="G1549" s="1">
        <v>43111</v>
      </c>
    </row>
    <row r="1550">
      <c r="A1550" t="str">
        <v>Mécanique construction réparation</v>
      </c>
      <c r="B1550" t="str">
        <v>Module 14 propulsion (connaissances de base: mécanicien aéronautique)</v>
      </c>
      <c r="C1550" t="str">
        <v>Ministère de la transition écologique et solidaire, Direction générale de l'aviation civile</v>
      </c>
      <c r="D1550" t="str">
        <f>HYPERLINK("https://inventaire.cncp.gouv.fr/fiches/1152/","1152")</f>
        <v>1152</v>
      </c>
      <c r="E1550" t="str">
        <f>HYPERLINK("http://www.intercariforef.org/formations/certification-85631.html","85631")</f>
        <v>85631</v>
      </c>
      <c r="F1550" s="1">
        <v>42269</v>
      </c>
      <c r="G1550" s="1">
        <v>43111</v>
      </c>
    </row>
    <row r="1551">
      <c r="A1551" t="str">
        <v>Mécanique construction réparation</v>
      </c>
      <c r="B1551" t="str">
        <v>Module 15 turbine à gaz (connaissances de base: mécanicien aéronautique)</v>
      </c>
      <c r="C1551" t="str">
        <v>Ministère de la transition écologique et solidaire, Direction générale de l'aviation civile</v>
      </c>
      <c r="D1551" t="str">
        <f>HYPERLINK("https://inventaire.cncp.gouv.fr/fiches/1153/","1153")</f>
        <v>1153</v>
      </c>
      <c r="E1551" t="str">
        <f>HYPERLINK("http://www.intercariforef.org/formations/certification-85632.html","85632")</f>
        <v>85632</v>
      </c>
      <c r="F1551" s="1">
        <v>42269</v>
      </c>
      <c r="G1551" s="1">
        <v>43111</v>
      </c>
    </row>
    <row r="1552">
      <c r="A1552" t="str">
        <v>Mécanique construction réparation</v>
      </c>
      <c r="B1552" t="str">
        <v>Module 16 Moteur à pistons (connaissances de base: mécanicien aéronautique)</v>
      </c>
      <c r="C1552" t="str">
        <v>Ministère de la transition écologique et solidaire, Direction générale de l'aviation civile</v>
      </c>
      <c r="D1552" t="str">
        <f>HYPERLINK("https://inventaire.cncp.gouv.fr/fiches/1154/","1154")</f>
        <v>1154</v>
      </c>
      <c r="E1552" t="str">
        <f>HYPERLINK("http://www.intercariforef.org/formations/certification-85636.html","85636")</f>
        <v>85636</v>
      </c>
      <c r="F1552" s="1">
        <v>42269</v>
      </c>
      <c r="G1552" s="1">
        <v>43111</v>
      </c>
    </row>
    <row r="1553">
      <c r="A1553" t="str">
        <v>Mécanique construction réparation</v>
      </c>
      <c r="B1553" t="str">
        <v>Module 17 A Hélice (connaissances de base: mécanicien aéronautique)</v>
      </c>
      <c r="C1553" t="str">
        <v>Ministère de la transition écologique et solidaire, Direction générale de l'aviation civile</v>
      </c>
      <c r="D1553" t="str">
        <f>HYPERLINK("https://inventaire.cncp.gouv.fr/fiches/1155/","1155")</f>
        <v>1155</v>
      </c>
      <c r="E1553" t="str">
        <f>HYPERLINK("http://www.intercariforef.org/formations/certification-85637.html","85637")</f>
        <v>85637</v>
      </c>
      <c r="F1553" s="1">
        <v>42269</v>
      </c>
      <c r="G1553" s="1">
        <v>43111</v>
      </c>
    </row>
    <row r="1554">
      <c r="A1554" t="str">
        <v>Mécanique construction réparation</v>
      </c>
      <c r="B1554" t="str">
        <v>Module 17 B Hélice (connaissances de base: mécanicien aéronautique)</v>
      </c>
      <c r="C1554" t="str">
        <v>Ministère de la transition écologique et solidaire, Direction générale de l'aviation civile</v>
      </c>
      <c r="D1554" t="str">
        <f>HYPERLINK("https://inventaire.cncp.gouv.fr/fiches/1156/","1156")</f>
        <v>1156</v>
      </c>
      <c r="E1554" t="str">
        <f>HYPERLINK("http://www.intercariforef.org/formations/certification-85638.html","85638")</f>
        <v>85638</v>
      </c>
      <c r="F1554" s="1">
        <v>42269</v>
      </c>
      <c r="G1554" s="1">
        <v>43111</v>
      </c>
    </row>
    <row r="1555">
      <c r="A1555" t="str">
        <v>Mécanique construction réparation</v>
      </c>
      <c r="B1555" t="str">
        <v>Module 2 Physique (connaissances de base mécanicien aéronautique)</v>
      </c>
      <c r="C1555" t="str">
        <v>Ministère de la transition écologique et solidaire, Direction générale de l'aviation civile</v>
      </c>
      <c r="D1555" t="str">
        <f>HYPERLINK("https://inventaire.cncp.gouv.fr/fiches/1131/","1131")</f>
        <v>1131</v>
      </c>
      <c r="E1555" t="str">
        <f>HYPERLINK("http://www.intercariforef.org/formations/certification-85606.html","85606")</f>
        <v>85606</v>
      </c>
      <c r="F1555" s="1">
        <v>42269</v>
      </c>
      <c r="G1555" s="1">
        <v>43111</v>
      </c>
    </row>
    <row r="1556">
      <c r="A1556" t="str">
        <v>Mécanique construction réparation</v>
      </c>
      <c r="B1556" t="str">
        <v>Module 3 Principes essentiels d'électricité (connaissances de base mécanicien aéronautique)</v>
      </c>
      <c r="C1556" t="str">
        <v>Ministère de la transition écologique et solidaire, Direction générale de l'aviation civile</v>
      </c>
      <c r="D1556" t="str">
        <f>HYPERLINK("https://inventaire.cncp.gouv.fr/fiches/1132/","1132")</f>
        <v>1132</v>
      </c>
      <c r="E1556" t="str">
        <f>HYPERLINK("http://www.intercariforef.org/formations/certification-85607.html","85607")</f>
        <v>85607</v>
      </c>
      <c r="F1556" s="1">
        <v>42269</v>
      </c>
      <c r="G1556" s="1">
        <v>43111</v>
      </c>
    </row>
    <row r="1557">
      <c r="A1557" t="str">
        <v>Mécanique construction réparation</v>
      </c>
      <c r="B1557" t="str">
        <v>Module 4 Principes essentiels d'électronique (connaissances de base mécanicien aéronautique)</v>
      </c>
      <c r="C1557" t="str">
        <v>Ministère de la transition écologique et solidaire, Direction générale de l'aviation civile</v>
      </c>
      <c r="D1557" t="str">
        <f>HYPERLINK("https://inventaire.cncp.gouv.fr/fiches/1133/","1133")</f>
        <v>1133</v>
      </c>
      <c r="E1557" t="str">
        <f>HYPERLINK("http://www.intercariforef.org/formations/certification-85609.html","85609")</f>
        <v>85609</v>
      </c>
      <c r="F1557" s="1">
        <v>42269</v>
      </c>
      <c r="G1557" s="1">
        <v>43111</v>
      </c>
    </row>
    <row r="1558" ht="26.2" customHeight="1">
      <c r="A1558" t="str">
        <v>Mécanique construction réparation</v>
      </c>
      <c r="B1558" t="str">
        <v>Module 5 Principes techniques numériques / systèmes d'instrumentation électronique (connaissances de base mécanicien aéronautique)</v>
      </c>
      <c r="C1558" t="str">
        <v>Ministère de la transition écologique et solidaire, Direction générale de l'aviation civile</v>
      </c>
      <c r="D1558" t="str">
        <f>HYPERLINK("https://inventaire.cncp.gouv.fr/fiches/1134/","1134")</f>
        <v>1134</v>
      </c>
      <c r="E1558" t="str">
        <f>HYPERLINK("http://www.intercariforef.org/formations/certification-85610.html","85610")</f>
        <v>85610</v>
      </c>
      <c r="F1558" s="1">
        <v>42269</v>
      </c>
      <c r="G1558" s="1">
        <v>43111</v>
      </c>
    </row>
    <row r="1559">
      <c r="A1559" t="str">
        <v>Mécanique construction réparation</v>
      </c>
      <c r="B1559" t="str">
        <v>Module 6 Matériaux et Matériels (connaissances de base mécanicien aéronautique)</v>
      </c>
      <c r="C1559" t="str">
        <v>Ministère de la transition écologique et solidaire, Direction générale de l'aviation civile</v>
      </c>
      <c r="D1559" t="str">
        <f>HYPERLINK("https://inventaire.cncp.gouv.fr/fiches/1135/","1135")</f>
        <v>1135</v>
      </c>
      <c r="E1559" t="str">
        <f>HYPERLINK("http://www.intercariforef.org/formations/certification-85612.html","85612")</f>
        <v>85612</v>
      </c>
      <c r="F1559" s="1">
        <v>42269</v>
      </c>
      <c r="G1559" s="1">
        <v>43111</v>
      </c>
    </row>
    <row r="1560">
      <c r="A1560" t="str">
        <v>Mécanique construction réparation</v>
      </c>
      <c r="B1560" t="str">
        <v>Module 7A procédures d'entretien (connaissances de base mécanicien aéronautique)</v>
      </c>
      <c r="C1560" t="str">
        <v>Ministère de la transition écologique et solidaire, Direction générale de l'aviation civile</v>
      </c>
      <c r="D1560" t="str">
        <f>HYPERLINK("https://inventaire.cncp.gouv.fr/fiches/1136/","1136")</f>
        <v>1136</v>
      </c>
      <c r="E1560" t="str">
        <f>HYPERLINK("http://www.intercariforef.org/formations/certification-85613.html","85613")</f>
        <v>85613</v>
      </c>
      <c r="F1560" s="1">
        <v>42269</v>
      </c>
      <c r="G1560" s="1">
        <v>43111</v>
      </c>
    </row>
    <row r="1561">
      <c r="A1561" t="str">
        <v>Mécanique construction réparation</v>
      </c>
      <c r="B1561" t="str">
        <v>Module 7B procédures d'entretien (connaissances de base mécanicien aéronautique)</v>
      </c>
      <c r="C1561" t="str">
        <v>Ministère de la transition écologique et solidaire, Direction générale de l'aviation civile</v>
      </c>
      <c r="D1561" t="str">
        <f>HYPERLINK("https://inventaire.cncp.gouv.fr/fiches/1137/","1137")</f>
        <v>1137</v>
      </c>
      <c r="E1561" t="str">
        <f>HYPERLINK("http://www.intercariforef.org/formations/certification-85615.html","85615")</f>
        <v>85615</v>
      </c>
      <c r="F1561" s="1">
        <v>42269</v>
      </c>
      <c r="G1561" s="1">
        <v>43111</v>
      </c>
    </row>
    <row r="1562">
      <c r="A1562" t="str">
        <v>Mécanique construction réparation</v>
      </c>
      <c r="B1562" t="str">
        <v>Module 8 aérodynamique de base (connaissances de base mécanicien aéronautique)</v>
      </c>
      <c r="C1562" t="str">
        <v>Ministère de la transition écologique et solidaire, Direction générale de l'aviation civile</v>
      </c>
      <c r="D1562" t="str">
        <f>HYPERLINK("https://inventaire.cncp.gouv.fr/fiches/1138/","1138")</f>
        <v>1138</v>
      </c>
      <c r="E1562" t="str">
        <f>HYPERLINK("http://www.intercariforef.org/formations/certification-85621.html","85621")</f>
        <v>85621</v>
      </c>
      <c r="F1562" s="1">
        <v>42269</v>
      </c>
      <c r="G1562" s="1">
        <v>43111</v>
      </c>
    </row>
    <row r="1563">
      <c r="A1563" t="str">
        <v>Mécanique construction réparation</v>
      </c>
      <c r="B1563" t="str">
        <v>Module 9A Facteurs Humains(connaissances de base mécanicien aéronautique)</v>
      </c>
      <c r="C1563" t="str">
        <v>Ministère de la transition écologique et solidaire, Direction générale de l'aviation civile</v>
      </c>
      <c r="D1563" t="str">
        <f>HYPERLINK("https://inventaire.cncp.gouv.fr/fiches/1140/","1140")</f>
        <v>1140</v>
      </c>
      <c r="E1563" t="str">
        <f>HYPERLINK("http://www.intercariforef.org/formations/certification-85622.html","85622")</f>
        <v>85622</v>
      </c>
      <c r="F1563" s="1">
        <v>42269</v>
      </c>
      <c r="G1563" s="1">
        <v>43111</v>
      </c>
    </row>
    <row r="1564">
      <c r="A1564" t="str">
        <v>Mécanique construction réparation</v>
      </c>
      <c r="B1564" t="str">
        <v>Module 9B Facteurs Humains (connaissances de base mécanicien aéronautique)</v>
      </c>
      <c r="C1564" t="str">
        <v>Ministère de la transition écologique et solidaire, Direction générale de l'aviation civile</v>
      </c>
      <c r="D1564" t="str">
        <f>HYPERLINK("https://inventaire.cncp.gouv.fr/fiches/1141/","1141")</f>
        <v>1141</v>
      </c>
      <c r="E1564" t="str">
        <f>HYPERLINK("http://www.intercariforef.org/formations/certification-85623.html","85623")</f>
        <v>85623</v>
      </c>
      <c r="F1564" s="1">
        <v>42269</v>
      </c>
      <c r="G1564" s="1">
        <v>43111</v>
      </c>
    </row>
    <row r="1565">
      <c r="A1565" t="str">
        <v>Mécanique construction réparation</v>
      </c>
      <c r="B1565" t="str">
        <v>Module1 Mathématiques (connaissances de base mécanicien aéronautique)</v>
      </c>
      <c r="C1565" t="str">
        <v>Ministère de la transition écologique et solidaire, Direction générale de l'aviation civile</v>
      </c>
      <c r="D1565" t="str">
        <f>HYPERLINK("https://inventaire.cncp.gouv.fr/fiches/1130/","1130")</f>
        <v>1130</v>
      </c>
      <c r="E1565" t="str">
        <f>HYPERLINK("http://www.intercariforef.org/formations/certification-85603.html","85603")</f>
        <v>85603</v>
      </c>
      <c r="F1565" s="1">
        <v>42269</v>
      </c>
      <c r="G1565" s="1">
        <v>43111</v>
      </c>
    </row>
    <row r="1566">
      <c r="A1566" t="str">
        <v>Mécanique construction réparation</v>
      </c>
      <c r="B1566" t="str">
        <v>Qualification de type (Mécanicien aéronautique)</v>
      </c>
      <c r="C1566" t="str">
        <v>Ministère de la transition écologique et solidaire</v>
      </c>
      <c r="D1566" t="str">
        <f>HYPERLINK("https://inventaire.cncp.gouv.fr/fiches/324/","324")</f>
        <v>324</v>
      </c>
      <c r="E1566" t="str">
        <f>HYPERLINK("http://www.intercariforef.org/formations/certification-84728.html","84728")</f>
        <v>84728</v>
      </c>
      <c r="F1566" s="1">
        <v>42156</v>
      </c>
      <c r="G1566" s="1">
        <v>43111</v>
      </c>
    </row>
    <row r="1567">
      <c r="A1567" t="str">
        <v>Mécanique construction réparation</v>
      </c>
      <c r="B1567" t="str">
        <v>Réalisation de tuyautage et raccordement hydraulique</v>
      </c>
      <c r="C1567" t="str">
        <v>CPNE de la métallurgie</v>
      </c>
      <c r="D1567" t="str">
        <f>HYPERLINK("https://inventaire.cncp.gouv.fr/fiches/2766/","2766")</f>
        <v>2766</v>
      </c>
      <c r="E1567" t="str">
        <f>HYPERLINK("http://www.intercariforef.org/formations/certification-94793.html","94793")</f>
        <v>94793</v>
      </c>
      <c r="F1567" s="1">
        <v>42836</v>
      </c>
      <c r="G1567" s="1">
        <v>42836</v>
      </c>
    </row>
    <row r="1568">
      <c r="A1568" t="str">
        <v>Physique</v>
      </c>
      <c r="B1568" t="str">
        <v>Compatibilité électromagnétique des systèmes</v>
      </c>
      <c r="C1568" t="str">
        <v>Centrale Supélec</v>
      </c>
      <c r="D1568" t="str">
        <f>HYPERLINK("https://inventaire.cncp.gouv.fr/fiches/2885/","2885")</f>
        <v>2885</v>
      </c>
      <c r="E1568" t="str">
        <f>HYPERLINK("http://www.intercariforef.org/formations/certification-99239.html","99239")</f>
        <v>99239</v>
      </c>
      <c r="F1568" s="1">
        <v>43080</v>
      </c>
      <c r="G1568" s="1">
        <v>43080</v>
      </c>
    </row>
    <row r="1569">
      <c r="A1569" t="str">
        <v>Prévention sécurité</v>
      </c>
      <c r="B1569" t="str">
        <v>Accompagnement au déploiement de la santé-qualité de vie dans les organisations</v>
      </c>
      <c r="C1569" t="str">
        <v>AFNOR</v>
      </c>
      <c r="D1569" t="str">
        <f>HYPERLINK("https://inventaire.cncp.gouv.fr/fiches/3007/","3007")</f>
        <v>3007</v>
      </c>
      <c r="E1569" t="str">
        <f>HYPERLINK("http://www.intercariforef.org/formations/certification-98707.html","98707")</f>
        <v>98707</v>
      </c>
      <c r="F1569" s="1">
        <v>43045</v>
      </c>
      <c r="G1569" s="1">
        <v>43152</v>
      </c>
    </row>
    <row r="1570">
      <c r="A1570" t="str">
        <v>Prévention sécurité</v>
      </c>
      <c r="B1570" t="str">
        <v>Agrément des conseillers en prévention des risques professionnels en agriculture</v>
      </c>
      <c r="C1570" t="str">
        <v>Caisse Centrale de la Mutualité Sociale Agricole (CCMSA)</v>
      </c>
      <c r="D1570" t="str">
        <f>HYPERLINK("https://inventaire.cncp.gouv.fr/fiches/51/","51")</f>
        <v>51</v>
      </c>
      <c r="E1570" t="str">
        <f>HYPERLINK("http://www.intercariforef.org/formations/certification-84543.html","84543")</f>
        <v>84543</v>
      </c>
      <c r="F1570" s="1">
        <v>42114</v>
      </c>
      <c r="G1570" s="1">
        <v>42114</v>
      </c>
    </row>
    <row r="1571">
      <c r="A1571" t="str">
        <v>Prévention sécurité</v>
      </c>
      <c r="B1571" t="str">
        <v>Animateur Prévention SSE</v>
      </c>
      <c r="C1571" t="str">
        <v>Union des industries et métiers de la métallurgie (UIMM)</v>
      </c>
      <c r="D1571" t="str">
        <f>HYPERLINK("https://inventaire.cncp.gouv.fr/fiches/1905/","1905")</f>
        <v>1905</v>
      </c>
      <c r="E1571" t="str">
        <f>HYPERLINK("http://www.intercariforef.org/formations/certification-88519.html","88519")</f>
        <v>88519</v>
      </c>
      <c r="F1571" s="1">
        <v>42466</v>
      </c>
      <c r="G1571" s="1">
        <v>42979</v>
      </c>
    </row>
    <row r="1572">
      <c r="A1572" t="str">
        <v>Prévention sécurité</v>
      </c>
      <c r="B1572" t="str">
        <v>Attestation de formation de base à l'hygiène</v>
      </c>
      <c r="C1572" t="str">
        <v>Ministère de la transition écologique et solidaire</v>
      </c>
      <c r="D1572" t="str">
        <f>HYPERLINK("https://inventaire.cncp.gouv.fr/fiches/915/","915")</f>
        <v>915</v>
      </c>
      <c r="E1572" t="str">
        <f>HYPERLINK("http://www.intercariforef.org/formations/certification-85055.html","85055")</f>
        <v>85055</v>
      </c>
      <c r="F1572" s="1">
        <v>42185</v>
      </c>
      <c r="G1572" s="1">
        <v>43111</v>
      </c>
    </row>
    <row r="1573">
      <c r="A1573" t="str">
        <v>Prévention sécurité</v>
      </c>
      <c r="B1573" t="str">
        <v>Attestation de formation des agents des entreprises de protection privée de navires</v>
      </c>
      <c r="C1573" t="str">
        <v>Ministère de la transition écologique et solidaire</v>
      </c>
      <c r="D1573" t="str">
        <f>HYPERLINK("https://inventaire.cncp.gouv.fr/fiches/721/","721")</f>
        <v>721</v>
      </c>
      <c r="E1573" t="str">
        <f>HYPERLINK("http://www.intercariforef.org/formations/certification-84695.html","84695")</f>
        <v>84695</v>
      </c>
      <c r="F1573" s="1">
        <v>42156</v>
      </c>
      <c r="G1573" s="1">
        <v>43111</v>
      </c>
    </row>
    <row r="1574">
      <c r="A1574" t="str">
        <v>Prévention sécurité</v>
      </c>
      <c r="B1574" t="str">
        <v>Attestation de formation des dirigeants des entreprises de protection privée de navires</v>
      </c>
      <c r="C1574" t="str">
        <v>Ministère de la transition écologique et solidaire</v>
      </c>
      <c r="D1574" t="str">
        <f>HYPERLINK("https://inventaire.cncp.gouv.fr/fiches/719/","719")</f>
        <v>719</v>
      </c>
      <c r="E1574" t="str">
        <f>HYPERLINK("http://www.intercariforef.org/formations/certification-84692.html","84692")</f>
        <v>84692</v>
      </c>
      <c r="F1574" s="1">
        <v>42156</v>
      </c>
      <c r="G1574" s="1">
        <v>43111</v>
      </c>
    </row>
    <row r="1575">
      <c r="A1575" t="str">
        <v>Prévention sécurité</v>
      </c>
      <c r="B1575" t="str">
        <v>Auditeur de la Session nationale de l'IHEDN "Armement et économie de défense"</v>
      </c>
      <c r="C1575" t="str">
        <v>Ministère des Armées, Institut des hautes études de Défense nationale</v>
      </c>
      <c r="D1575" t="str">
        <f>HYPERLINK("https://inventaire.cncp.gouv.fr/fiches/2479/","2479")</f>
        <v>2479</v>
      </c>
      <c r="E1575" t="str">
        <f>HYPERLINK("http://www.intercariforef.org/formations/certification-97099.html","97099")</f>
        <v>97099</v>
      </c>
      <c r="F1575" s="1">
        <v>42978</v>
      </c>
      <c r="G1575" s="1">
        <v>43111</v>
      </c>
    </row>
    <row r="1576">
      <c r="A1576" t="str">
        <v>Prévention sécurité</v>
      </c>
      <c r="B1576" t="str">
        <v>Auditeur de la Session nationale de l'IHEDN "Politique de défense"</v>
      </c>
      <c r="C1576" t="str">
        <v>Ministère des Armées, Institut des hautes études de Défense nationale</v>
      </c>
      <c r="D1576" t="str">
        <f>HYPERLINK("https://inventaire.cncp.gouv.fr/fiches/2478/","2478")</f>
        <v>2478</v>
      </c>
      <c r="E1576" t="str">
        <f>HYPERLINK("http://www.intercariforef.org/formations/certification-97101.html","97101")</f>
        <v>97101</v>
      </c>
      <c r="F1576" s="1">
        <v>42978</v>
      </c>
      <c r="G1576" s="1">
        <v>43111</v>
      </c>
    </row>
    <row r="1577">
      <c r="A1577" t="str">
        <v>Prévention sécurité</v>
      </c>
      <c r="B1577" t="str">
        <v>Auditeur ICA Environnement</v>
      </c>
      <c r="C1577" t="str">
        <v>AFNOR</v>
      </c>
      <c r="D1577" t="str">
        <f>HYPERLINK("https://inventaire.cncp.gouv.fr/fiches/927/","927")</f>
        <v>927</v>
      </c>
      <c r="E1577" t="str">
        <f>HYPERLINK("http://www.intercariforef.org/formations/certification-85049.html","85049")</f>
        <v>85049</v>
      </c>
      <c r="F1577" s="1">
        <v>42185</v>
      </c>
      <c r="G1577" s="1">
        <v>42185</v>
      </c>
    </row>
    <row r="1578">
      <c r="A1578" t="str">
        <v>Prévention sécurité</v>
      </c>
      <c r="B1578" t="str">
        <v>Auditeur ICA Santé Sécurité au travail</v>
      </c>
      <c r="C1578" t="str">
        <v>AFNOR</v>
      </c>
      <c r="D1578" t="str">
        <f>HYPERLINK("https://inventaire.cncp.gouv.fr/fiches/929/","929")</f>
        <v>929</v>
      </c>
      <c r="E1578" t="str">
        <f>HYPERLINK("http://www.intercariforef.org/formations/certification-85050.html","85050")</f>
        <v>85050</v>
      </c>
      <c r="F1578" s="1">
        <v>42185</v>
      </c>
      <c r="G1578" s="1">
        <v>42185</v>
      </c>
    </row>
    <row r="1579">
      <c r="A1579" t="str">
        <v>Prévention sécurité</v>
      </c>
      <c r="B1579" t="str">
        <v>Auditeur IRCA de système de management environnemental (conversion)</v>
      </c>
      <c r="C1579" t="str">
        <v>AFNOR</v>
      </c>
      <c r="D1579" t="str">
        <f>HYPERLINK("https://inventaire.cncp.gouv.fr/fiches/1012/","1012")</f>
        <v>1012</v>
      </c>
      <c r="E1579" t="str">
        <f>HYPERLINK("http://www.intercariforef.org/formations/certification-85042.html","85042")</f>
        <v>85042</v>
      </c>
      <c r="F1579" s="1">
        <v>42185</v>
      </c>
      <c r="G1579" s="1">
        <v>42185</v>
      </c>
    </row>
    <row r="1580" ht="39.3" customHeight="1">
      <c r="A1580" t="str">
        <v>Prévention sécurité</v>
      </c>
      <c r="B1580" t="str">
        <v>Brevet national de pisteur secouriste option ski alpin 1er degré</v>
      </c>
      <c r="C1580" t="str">
        <v>Ministère de l'intérieur, Association nationale des professionnels de la sécurité des pistes (ANPSP), École nationale de ski de fond et de saut, École nationale de ski et d'alpinisme (ENSA), Fédération française de ski (FFS), Syndicat national des téléphériques de France (SNTF)</v>
      </c>
      <c r="D1580" t="str">
        <f>HYPERLINK("https://inventaire.cncp.gouv.fr/fiches/2752/","2752")</f>
        <v>2752</v>
      </c>
      <c r="E1580" t="str">
        <f>HYPERLINK("http://www.intercariforef.org/formations/certification-49581.html","49581")</f>
        <v>49581</v>
      </c>
      <c r="F1580" s="1">
        <v>37900</v>
      </c>
      <c r="G1580" s="1">
        <v>42923</v>
      </c>
    </row>
    <row r="1581" ht="39.3" customHeight="1">
      <c r="A1581" t="str">
        <v>Prévention sécurité</v>
      </c>
      <c r="B1581" t="str">
        <v>Brevet national de pisteur secouriste option ski alpin 2ème degré</v>
      </c>
      <c r="C1581" t="str">
        <v>Ministère de l'intérieur, Association nationale des professionnels de la sécurité des pistes (ANPSP), École nationale de ski de fond et de saut, École nationale de ski et d'alpinisme (ENSA), Fédération française de ski (FFS), Syndicat national des téléphériques de France (SNTF)</v>
      </c>
      <c r="D1581" t="str">
        <f>HYPERLINK("https://inventaire.cncp.gouv.fr/fiches/2753/","2753")</f>
        <v>2753</v>
      </c>
      <c r="E1581" t="str">
        <f>HYPERLINK("http://www.intercariforef.org/formations/certification-48463.html","48463")</f>
        <v>48463</v>
      </c>
      <c r="F1581" s="1">
        <v>36886</v>
      </c>
      <c r="G1581" s="1">
        <v>42923</v>
      </c>
    </row>
    <row r="1582" ht="39.3" customHeight="1">
      <c r="A1582" t="str">
        <v>Prévention sécurité</v>
      </c>
      <c r="B1582" t="str">
        <v>Brevet national de pisteur secouriste option ski alpin 3ème degré</v>
      </c>
      <c r="C1582" t="str">
        <v>Ministère de l'intérieur, Association nationale des professionnels de la sécurité des pistes (ANPSP), École nationale de ski de fond et de saut, École nationale de ski et d'alpinisme (ENSA), Fédération française de ski (FFS), Syndicat national des téléphériques de France (SNTF)</v>
      </c>
      <c r="D1582" t="str">
        <f>HYPERLINK("https://inventaire.cncp.gouv.fr/fiches/2754/","2754")</f>
        <v>2754</v>
      </c>
      <c r="E1582" t="str">
        <f>HYPERLINK("http://www.intercariforef.org/formations/certification-48047.html","48047")</f>
        <v>48047</v>
      </c>
      <c r="F1582" s="1">
        <v>37900</v>
      </c>
      <c r="G1582" s="1">
        <v>42923</v>
      </c>
    </row>
    <row r="1583" ht="39.3" customHeight="1">
      <c r="A1583" t="str">
        <v>Prévention sécurité</v>
      </c>
      <c r="B1583" t="str">
        <v>Brevet national de pisteur secouriste option ski nordique 1er degré</v>
      </c>
      <c r="C1583" t="str">
        <v>Ministère de l'intérieur, Association nationale des professionnels de la sécurité des pistes (ANPSP), École nationale de ski de fond et de saut, École nationale de ski et d'alpinisme (ENSA), Fédération française de ski (FFS), Syndicat national des téléphériques de France (SNTF)</v>
      </c>
      <c r="D1583" t="str">
        <f>HYPERLINK("https://inventaire.cncp.gouv.fr/fiches/2973/","2973")</f>
        <v>2973</v>
      </c>
      <c r="E1583" t="str">
        <f>HYPERLINK("http://www.intercariforef.org/formations/certification-49582.html","49582")</f>
        <v>49582</v>
      </c>
      <c r="F1583" s="1">
        <v>37900</v>
      </c>
      <c r="G1583" s="1">
        <v>43038</v>
      </c>
    </row>
    <row r="1584" ht="39.3" customHeight="1">
      <c r="A1584" t="str">
        <v>Prévention sécurité</v>
      </c>
      <c r="B1584" t="str">
        <v>Brevet national de pisteur secouriste option ski nordique 2ème degré</v>
      </c>
      <c r="C1584" t="str">
        <v>Ministère de l'intérieur, Association nationale des professionnels de la sécurité des pistes (ANPSP), École nationale de ski de fond et de saut, École nationale de ski et d'alpinisme (ENSA), Fédération française de ski (FFS), Syndicat national des téléphériques de France (SNTF)</v>
      </c>
      <c r="D1584" t="str">
        <f>HYPERLINK("https://inventaire.cncp.gouv.fr/fiches/2974/","2974")</f>
        <v>2974</v>
      </c>
      <c r="E1584" t="str">
        <f>HYPERLINK("http://www.intercariforef.org/formations/certification-48464.html","48464")</f>
        <v>48464</v>
      </c>
      <c r="F1584" s="1">
        <v>36886</v>
      </c>
      <c r="G1584" s="1">
        <v>42928</v>
      </c>
    </row>
    <row r="1585" ht="39.3" customHeight="1">
      <c r="A1585" t="str">
        <v>Prévention sécurité</v>
      </c>
      <c r="B1585" t="str">
        <v>Brevet national de pisteur secouriste option ski nordique 3ème degré</v>
      </c>
      <c r="C1585" t="str">
        <v>Ministère de l'intérieur, Association nationale des professionnels de la sécurité des pistes (ANPSP), École nationale de ski de fond et de saut, École nationale de ski et d'alpinisme (ENSA), Fédération française de ski (FFS), Syndicat national des téléphériques de France (SNTF)</v>
      </c>
      <c r="D1585" t="str">
        <f>HYPERLINK("https://inventaire.cncp.gouv.fr/fiches/2754/","2754")</f>
        <v>2754</v>
      </c>
      <c r="E1585" t="str">
        <f>HYPERLINK("http://www.intercariforef.org/formations/certification-48048.html","48048")</f>
        <v>48048</v>
      </c>
      <c r="F1585" s="1">
        <v>37900</v>
      </c>
      <c r="G1585" s="1">
        <v>42923</v>
      </c>
    </row>
    <row r="1586" ht="26.2" customHeight="1">
      <c r="A1586" t="str">
        <v>Prévention sécurité</v>
      </c>
      <c r="B1586" t="str">
        <v>Certificat d'acquis professionnels Responsable Sécurité au travail et prévention des risques professionnels OHSAS 18001</v>
      </c>
      <c r="C1586" t="str">
        <v>AFNOR</v>
      </c>
      <c r="D1586" t="str">
        <f>HYPERLINK("https://inventaire.cncp.gouv.fr/fiches/1766/","1766")</f>
        <v>1766</v>
      </c>
      <c r="E1586" t="str">
        <f>HYPERLINK("http://www.intercariforef.org/formations/certification-95251.html","95251")</f>
        <v>95251</v>
      </c>
      <c r="F1586" s="1">
        <v>42851</v>
      </c>
      <c r="G1586" s="1">
        <v>43152</v>
      </c>
    </row>
    <row r="1587" ht="26.2" customHeight="1">
      <c r="A1587" t="str">
        <v>Prévention sécurité</v>
      </c>
      <c r="B1587" t="str">
        <v>Certificat d'acteur prévention des risques liés à l'activité physique Secteur Industrie, Bâtiment, Commerce (dénommé « acteur PRAP IBC »)</v>
      </c>
      <c r="C1587" t="str">
        <v>Ministère du travail, Institut national de recherche et de sécurité</v>
      </c>
      <c r="D1587" t="str">
        <f>HYPERLINK("https://inventaire.cncp.gouv.fr/fiches/1037/","1037")</f>
        <v>1037</v>
      </c>
      <c r="E1587" t="str">
        <f>HYPERLINK("http://www.intercariforef.org/formations/certification-85560.html","85560")</f>
        <v>85560</v>
      </c>
      <c r="F1587" s="1">
        <v>42269</v>
      </c>
      <c r="G1587" s="1">
        <v>43125</v>
      </c>
    </row>
    <row r="1588" ht="26.2" customHeight="1">
      <c r="A1588" t="str">
        <v>Prévention sécurité</v>
      </c>
      <c r="B1588" t="str">
        <v>Certificat d'acteur prévention des risques liés à l'activité physique Secteur sanitaire et social (dénommé « acteur PRAP 2S »)</v>
      </c>
      <c r="C1588" t="str">
        <v>Ministère du travail, Institut national de recherche et de sécurité</v>
      </c>
      <c r="D1588" t="str">
        <f>HYPERLINK("https://inventaire.cncp.gouv.fr/fiches/1026/","1026")</f>
        <v>1026</v>
      </c>
      <c r="E1588" t="str">
        <f>HYPERLINK("http://www.intercariforef.org/formations/certification-85563.html","85563")</f>
        <v>85563</v>
      </c>
      <c r="F1588" s="1">
        <v>42269</v>
      </c>
      <c r="G1588" s="1">
        <v>43125</v>
      </c>
    </row>
    <row r="1589">
      <c r="A1589" t="str">
        <v>Prévention sécurité</v>
      </c>
      <c r="B1589" t="str">
        <v>Certificat d'acteur prévention secours du secteur de l'aide et du soin à domicile</v>
      </c>
      <c r="C1589" t="str">
        <v>Caisse Nationale de l'Assurance Maladie des Travailleurs (CNAMTS)</v>
      </c>
      <c r="D1589" t="str">
        <f>HYPERLINK("https://inventaire.cncp.gouv.fr/fiches/1787/","1787")</f>
        <v>1787</v>
      </c>
      <c r="E1589" t="str">
        <f>HYPERLINK("http://www.intercariforef.org/formations/certification-87647.html","87647")</f>
        <v>87647</v>
      </c>
      <c r="F1589" s="1">
        <v>42415</v>
      </c>
      <c r="G1589" s="1">
        <v>42979</v>
      </c>
    </row>
    <row r="1590">
      <c r="A1590" t="str">
        <v>Prévention sécurité</v>
      </c>
      <c r="B1590" t="str">
        <v>Certificat d'aptitude à l'exploitation des embarcations et radeaux de sauvetage (CAEERS)</v>
      </c>
      <c r="C1590" t="str">
        <v>Direction des affaires maritimes</v>
      </c>
      <c r="D1590" t="str">
        <f>HYPERLINK("https://inventaire.cncp.gouv.fr/fiches/797/","797")</f>
        <v>797</v>
      </c>
      <c r="E1590" t="str">
        <f>HYPERLINK("http://www.intercariforef.org/formations/certification-66280.html","66280")</f>
        <v>66280</v>
      </c>
      <c r="F1590" s="1">
        <v>40246</v>
      </c>
      <c r="G1590" s="1">
        <v>42979</v>
      </c>
    </row>
    <row r="1591" ht="26.2" customHeight="1">
      <c r="A1591" t="str">
        <v>Prévention sécurité</v>
      </c>
      <c r="B1591" t="str">
        <v>Certificat de compétences de formateur au sauvetage aquatique en milieu naturel</v>
      </c>
      <c r="C1591" t="str">
        <v>Direction générale de la sécurité civile et de la gestion des crises (DGSCGR) - Ministère de l'intérieur, Fédération française des maîtres-nageurs sauveteurs</v>
      </c>
      <c r="D1591" t="str">
        <f>HYPERLINK("https://inventaire.cncp.gouv.fr/fiches/3167/","3167")</f>
        <v>3167</v>
      </c>
      <c r="E1591" t="str">
        <f>HYPERLINK("http://www.intercariforef.org/formations/certification-82711.html","82711")</f>
        <v>82711</v>
      </c>
      <c r="F1591" s="1">
        <v>41711</v>
      </c>
      <c r="G1591" s="1">
        <v>43339</v>
      </c>
    </row>
    <row r="1592" ht="78.55" customHeight="1">
      <c r="A1592" t="str">
        <v>Prévention sécurité</v>
      </c>
      <c r="B1592" t="str">
        <v>Certificat de compétences de formateur aux premiers secours</v>
      </c>
      <c r="C1592" t="str">
        <v>Ministère des Armées, 6e bataillon d'infanterie de marine, Aéroports de Paris, Base aérienne n°104, Base aérienne n°188, Brigade des sapeurs-pompiers de Paris, Direction de la sécurité et de la sûreté nucléaire du commissariat à l'énergie atomique et aux énergies alternatives, Direction générale de la gendarmerie nationale (DGGN), Direction générale de la police nationale (DGPN), Ecole du Val-de-Grâce, Etat-major de la marine nationale, Fédération française des maîtres-nageurs sauveteurs, Ministère de l'intérieur, Service médical de la présidence de la République</v>
      </c>
      <c r="D1592" t="str">
        <f>HYPERLINK("https://inventaire.cncp.gouv.fr/fiches/2972/","2972")</f>
        <v>2972</v>
      </c>
      <c r="E1592" t="str">
        <f>HYPERLINK("http://www.intercariforef.org/formations/certification-79294.html","79294")</f>
        <v>79294</v>
      </c>
      <c r="F1592" s="1">
        <v>41165</v>
      </c>
      <c r="G1592" s="1">
        <v>43360</v>
      </c>
    </row>
    <row r="1593" ht="130.95" customHeight="1">
      <c r="A1593" t="str">
        <v>Prévention sécurité</v>
      </c>
      <c r="B1593" t="str">
        <v>Certificat de compétences de formateur en prévention et secours civiques</v>
      </c>
      <c r="C1593" t="str">
        <v>Ministère de la justice, Ministère des Armées, 6e bataillon d'infanterie de marine, Aéroports de Paris, Association nationale des instructeurs et moniteurs de secourisme, Base aérienne n°104, Base aérienne n°188, Brigade des sapeurs-pompiers de Paris, Direction de l'administration pénitentiaire, Direction générale de la gendarmerie nationale (DGGN), Direction générale de la police nationale (DGPN), Ecole du Val-de-Grâce, Etat-major de la marine nationale, Fédération des Clubs de la Défense, Fédération française des maîtres-nageurs sauveteurs, Fédération nationale de sapeurs-pompiers de France, Lycée Pierre Mendès-France de Tunis (République tunisienne), Ministère de l'intérieur, Service médical de la présidence de la République, Société européenne de médecine de sapeurs-pompiers, Union française des oeuvres laïques d'éducation physique (UFOLEP)</v>
      </c>
      <c r="D1593" t="str">
        <f>HYPERLINK("https://inventaire.cncp.gouv.fr/fiches/2771/","2771")</f>
        <v>2771</v>
      </c>
      <c r="E1593" t="str">
        <f>HYPERLINK("http://www.intercariforef.org/formations/certification-79295.html","79295")</f>
        <v>79295</v>
      </c>
      <c r="F1593" s="1">
        <v>41165</v>
      </c>
      <c r="G1593" s="1">
        <v>43360</v>
      </c>
    </row>
    <row r="1594" ht="26.2" customHeight="1">
      <c r="A1594" t="str">
        <v>Prévention sécurité</v>
      </c>
      <c r="B1594" t="str">
        <v>Certificat de compétences de surveillant-sauveteur aquatique en eaux intérieures</v>
      </c>
      <c r="C1594" t="str">
        <v>Direction générale de la sécurité civile et de la gestion des crises (DGSCGR) - Ministère de l'intérieur, Fédération française des maîtres-nageurs sauveteurs</v>
      </c>
      <c r="D1594" t="str">
        <f>HYPERLINK("https://inventaire.cncp.gouv.fr/fiches/3164/","3164")</f>
        <v>3164</v>
      </c>
      <c r="E1594" t="str">
        <f>HYPERLINK("http://www.intercariforef.org/formations/certification-82708.html","82708")</f>
        <v>82708</v>
      </c>
      <c r="F1594" s="1">
        <v>41710</v>
      </c>
      <c r="G1594" s="1">
        <v>43339</v>
      </c>
    </row>
    <row r="1595" ht="26.2" customHeight="1">
      <c r="A1595" t="str">
        <v>Prévention sécurité</v>
      </c>
      <c r="B1595" t="str">
        <v>Certificat de compétences de surveillant-sauveteur aquatique sur le littoral</v>
      </c>
      <c r="C1595" t="str">
        <v>Direction générale de la sécurité civile et de la gestion des crises (DGSCGR) - Ministère de l'intérieur, Fédération française des maîtres-nageurs sauveteurs</v>
      </c>
      <c r="D1595" t="str">
        <f>HYPERLINK("https://inventaire.cncp.gouv.fr/fiches/3166/","3166")</f>
        <v>3166</v>
      </c>
      <c r="E1595" t="str">
        <f>HYPERLINK("http://www.intercariforef.org/formations/certification-82710.html","82710")</f>
        <v>82710</v>
      </c>
      <c r="F1595" s="1">
        <v>41711</v>
      </c>
      <c r="G1595" s="1">
        <v>43339</v>
      </c>
    </row>
    <row r="1596">
      <c r="A1596" t="str">
        <v>Prévention sécurité</v>
      </c>
      <c r="B1596" t="str">
        <v>Certificat de Consultant / Formateur en Prévention des Risques Psychosociaux</v>
      </c>
      <c r="C1596" t="str">
        <v>SOFIS</v>
      </c>
      <c r="D1596" t="str">
        <f>HYPERLINK("https://inventaire.cncp.gouv.fr/fiches/2379/","2379")</f>
        <v>2379</v>
      </c>
      <c r="E1596" t="str">
        <f>HYPERLINK("http://www.intercariforef.org/formations/certification-95463.html","95463")</f>
        <v>95463</v>
      </c>
      <c r="F1596" s="1">
        <v>42884</v>
      </c>
      <c r="G1596" s="1">
        <v>42884</v>
      </c>
    </row>
    <row r="1597">
      <c r="A1597" t="str">
        <v>Prévention sécurité</v>
      </c>
      <c r="B1597" t="str">
        <v>Certificat de qualification avancée à la lutte contre l'incendie</v>
      </c>
      <c r="C1597" t="str">
        <v>Ministère de la transition écologique et solidaire</v>
      </c>
      <c r="D1597" t="str">
        <f>HYPERLINK("https://inventaire.cncp.gouv.fr/fiches/461/","461")</f>
        <v>461</v>
      </c>
      <c r="E1597" t="str">
        <f>HYPERLINK("http://www.intercariforef.org/formations/certification-66262.html","66262")</f>
        <v>66262</v>
      </c>
      <c r="F1597" s="1">
        <v>40246</v>
      </c>
      <c r="G1597" s="1">
        <v>43111</v>
      </c>
    </row>
    <row r="1598">
      <c r="A1598" t="str">
        <v>Prévention sécurité</v>
      </c>
      <c r="B1598" t="str">
        <v>Certificat de sauveteur-secouriste du travail (SST)</v>
      </c>
      <c r="C1598" t="str">
        <v>Institut national de recherche et de sécurité, Ministère de l'intérieur, Ministère du travail</v>
      </c>
      <c r="D1598" t="str">
        <f>HYPERLINK("https://inventaire.cncp.gouv.fr/fiches/715/","715")</f>
        <v>715</v>
      </c>
      <c r="E1598" t="str">
        <f>HYPERLINK("http://www.intercariforef.org/formations/certification-72134.html","72134")</f>
        <v>72134</v>
      </c>
      <c r="F1598" s="1">
        <v>40521</v>
      </c>
      <c r="G1598" s="1">
        <v>43125</v>
      </c>
    </row>
    <row r="1599">
      <c r="A1599" t="str">
        <v>Prévention sécurité</v>
      </c>
      <c r="B1599" t="str">
        <v>Certificat gestes d'intervention opérationnelle de sécurité</v>
      </c>
      <c r="C1599" t="str">
        <v>Krysal Consulting</v>
      </c>
      <c r="D1599" t="str">
        <f>HYPERLINK("https://inventaire.cncp.gouv.fr/fiches/2768/","2768")</f>
        <v>2768</v>
      </c>
      <c r="E1599" t="str">
        <f>HYPERLINK("http://www.intercariforef.org/formations/certification-100527.html","100527")</f>
        <v>100527</v>
      </c>
      <c r="F1599" s="1">
        <v>43187</v>
      </c>
      <c r="G1599" s="1">
        <v>43187</v>
      </c>
    </row>
    <row r="1600" ht="26.2" customHeight="1">
      <c r="A1600" t="str">
        <v>Prévention sécurité</v>
      </c>
      <c r="B1600" t="str">
        <v>Certification "Perfectionnement à la gestion des risques industriels et environnementaux dans les coopératives agricoles et leurs filiales"</v>
      </c>
      <c r="C1600" t="str">
        <v>Services Coop de France</v>
      </c>
      <c r="D1600" t="str">
        <f>HYPERLINK("https://inventaire.cncp.gouv.fr/fiches/2300/","2300")</f>
        <v>2300</v>
      </c>
      <c r="E1600" t="str">
        <f>HYPERLINK("http://www.intercariforef.org/formations/certification-93771.html","93771")</f>
        <v>93771</v>
      </c>
      <c r="F1600" s="1">
        <v>42725</v>
      </c>
      <c r="G1600" s="1">
        <v>42725</v>
      </c>
    </row>
    <row r="1601">
      <c r="A1601" t="str">
        <v>Prévention sécurité</v>
      </c>
      <c r="B1601" t="str">
        <v>Certification de Compétence d'Ingénieur Professionnel en Sécurité du travail</v>
      </c>
      <c r="C1601" t="str">
        <v>Société Nationale des Ingénieurs Professionnels de France</v>
      </c>
      <c r="D1601" t="str">
        <f>HYPERLINK("https://inventaire.cncp.gouv.fr/fiches/2893/","2893")</f>
        <v>2893</v>
      </c>
      <c r="E1601" t="str">
        <f>HYPERLINK("http://www.intercariforef.org/formations/certification-98645.html","98645")</f>
        <v>98645</v>
      </c>
      <c r="F1601" s="1">
        <v>43038</v>
      </c>
      <c r="G1601" s="1">
        <v>43038</v>
      </c>
    </row>
    <row r="1602">
      <c r="A1602" t="str">
        <v>Prévention sécurité</v>
      </c>
      <c r="B1602" t="str">
        <v>Certification PECB - Management du risque</v>
      </c>
      <c r="C1602" t="str">
        <v>PECB Groupe</v>
      </c>
      <c r="D1602" t="str">
        <f>HYPERLINK("https://inventaire.cncp.gouv.fr/fiches/3212/","3212")</f>
        <v>3212</v>
      </c>
      <c r="E1602" t="str">
        <f>HYPERLINK("http://www.intercariforef.org/formations/certification-104033.html","104033")</f>
        <v>104033</v>
      </c>
      <c r="F1602" s="1">
        <v>43392</v>
      </c>
      <c r="G1602" s="1">
        <v>43392</v>
      </c>
    </row>
    <row r="1603">
      <c r="A1603" t="str">
        <v>Prévention sécurité</v>
      </c>
      <c r="B1603" t="str">
        <v>Conduite d'une démarche santé-qualité de vie dans les organisations</v>
      </c>
      <c r="C1603" t="str">
        <v>AFNOR</v>
      </c>
      <c r="D1603" t="str">
        <f>HYPERLINK("https://inventaire.cncp.gouv.fr/fiches/3004/","3004")</f>
        <v>3004</v>
      </c>
      <c r="E1603" t="str">
        <f>HYPERLINK("http://www.intercariforef.org/formations/certification-98703.html","98703")</f>
        <v>98703</v>
      </c>
      <c r="F1603" s="1">
        <v>43045</v>
      </c>
      <c r="G1603" s="1">
        <v>43152</v>
      </c>
    </row>
    <row r="1604">
      <c r="A1604" t="str">
        <v>Prévention sécurité</v>
      </c>
      <c r="B1604" t="str">
        <v>Coordinateur prévention SSE</v>
      </c>
      <c r="C1604" t="str">
        <v>Union des industries et métiers de la métallurgie (UIMM)</v>
      </c>
      <c r="D1604" t="str">
        <f>HYPERLINK("https://inventaire.cncp.gouv.fr/fiches/1906/","1906")</f>
        <v>1906</v>
      </c>
      <c r="E1604" t="str">
        <f>HYPERLINK("http://www.intercariforef.org/formations/certification-88521.html","88521")</f>
        <v>88521</v>
      </c>
      <c r="F1604" s="1">
        <v>42466</v>
      </c>
      <c r="G1604" s="1">
        <v>42979</v>
      </c>
    </row>
    <row r="1605">
      <c r="A1605" t="str">
        <v>Prévention sécurité</v>
      </c>
      <c r="B1605" t="str">
        <v>Cycle défense et sécurité nationale « Grandes écoles » de l'IHEDN</v>
      </c>
      <c r="C1605" t="str">
        <v>Ministère des Armées, Institut des hautes études de Défense nationale</v>
      </c>
      <c r="D1605" t="str">
        <f>HYPERLINK("https://inventaire.cncp.gouv.fr/fiches/2477/","2477")</f>
        <v>2477</v>
      </c>
      <c r="E1605" t="str">
        <f>HYPERLINK("http://www.intercariforef.org/formations/certification-97103.html","97103")</f>
        <v>97103</v>
      </c>
      <c r="F1605" s="1">
        <v>42978</v>
      </c>
      <c r="G1605" s="1">
        <v>43111</v>
      </c>
    </row>
    <row r="1606">
      <c r="A1606" t="str">
        <v>Prévention sécurité</v>
      </c>
      <c r="B1606" t="str">
        <v>Cycle défense et sécurité nationale « Jeunes » de l'IHEDN</v>
      </c>
      <c r="C1606" t="str">
        <v>Ministère des Armées, Institut des hautes études de Défense nationale</v>
      </c>
      <c r="D1606" t="str">
        <f>HYPERLINK("https://inventaire.cncp.gouv.fr/fiches/2475/","2475")</f>
        <v>2475</v>
      </c>
      <c r="E1606" t="str">
        <f>HYPERLINK("http://www.intercariforef.org/formations/certification-97107.html","97107")</f>
        <v>97107</v>
      </c>
      <c r="F1606" s="1">
        <v>42978</v>
      </c>
      <c r="G1606" s="1">
        <v>43111</v>
      </c>
    </row>
    <row r="1607">
      <c r="A1607" t="str">
        <v>Prévention sécurité</v>
      </c>
      <c r="B1607" t="str">
        <v>Cycle défense et sécurité nationale « Master 2 » de l'IHEDN</v>
      </c>
      <c r="C1607" t="str">
        <v>Ministère des Armées, Institut des hautes études de Défense nationale</v>
      </c>
      <c r="D1607" t="str">
        <f>HYPERLINK("https://inventaire.cncp.gouv.fr/fiches/2476/","2476")</f>
        <v>2476</v>
      </c>
      <c r="E1607" t="str">
        <f>HYPERLINK("http://www.intercariforef.org/formations/certification-97105.html","97105")</f>
        <v>97105</v>
      </c>
      <c r="F1607" s="1">
        <v>42978</v>
      </c>
      <c r="G1607" s="1">
        <v>43111</v>
      </c>
    </row>
    <row r="1608">
      <c r="A1608" t="str">
        <v>Prévention sécurité</v>
      </c>
      <c r="B1608" t="str">
        <v>Diplôme de chef d'agrès de sapeur pompier volontaire</v>
      </c>
      <c r="C1608" t="str">
        <v>Ministère de l'intérieur</v>
      </c>
      <c r="D1608" t="str">
        <f>HYPERLINK("https://inventaire.cncp.gouv.fr/fiches/1468/","1468")</f>
        <v>1468</v>
      </c>
      <c r="E1608" t="str">
        <f>HYPERLINK("http://www.intercariforef.org/formations/certification-89051.html","89051")</f>
        <v>89051</v>
      </c>
      <c r="F1608" s="1">
        <v>42516</v>
      </c>
      <c r="G1608" s="1">
        <v>42516</v>
      </c>
    </row>
    <row r="1609">
      <c r="A1609" t="str">
        <v>Prévention sécurité</v>
      </c>
      <c r="B1609" t="str">
        <v>Diplôme de chef d'équipe de sapeur pompier volontaire</v>
      </c>
      <c r="C1609" t="str">
        <v>Ministère de l'intérieur</v>
      </c>
      <c r="D1609" t="str">
        <f>HYPERLINK("https://inventaire.cncp.gouv.fr/fiches/1464/","1464")</f>
        <v>1464</v>
      </c>
      <c r="E1609" t="str">
        <f>HYPERLINK("http://www.intercariforef.org/formations/certification-89045.html","89045")</f>
        <v>89045</v>
      </c>
      <c r="F1609" s="1">
        <v>42516</v>
      </c>
      <c r="G1609" s="1">
        <v>42516</v>
      </c>
    </row>
    <row r="1610">
      <c r="A1610" t="str">
        <v>Prévention sécurité</v>
      </c>
      <c r="B1610" t="str">
        <v>Diplôme d'équipier de sapeur-pompier volontaire</v>
      </c>
      <c r="C1610" t="str">
        <v>Ministère de l'intérieur</v>
      </c>
      <c r="D1610" t="str">
        <f>HYPERLINK("https://inventaire.cncp.gouv.fr/fiches/1358/","1358")</f>
        <v>1358</v>
      </c>
      <c r="E1610" t="str">
        <f>HYPERLINK("http://www.intercariforef.org/formations/certification-81499.html","81499")</f>
        <v>81499</v>
      </c>
      <c r="F1610" s="1">
        <v>41513</v>
      </c>
      <c r="G1610" s="1">
        <v>42516</v>
      </c>
    </row>
    <row r="1611">
      <c r="A1611" t="str">
        <v>Prévention sécurité</v>
      </c>
      <c r="B1611" t="str">
        <v>Expertise technique et pédagogique en manutention des personne</v>
      </c>
      <c r="C1611" t="str">
        <v>IRFA Evolution</v>
      </c>
      <c r="D1611" t="str">
        <f>HYPERLINK("https://inventaire.cncp.gouv.fr/fiches/1588/","1588")</f>
        <v>1588</v>
      </c>
      <c r="E1611" t="str">
        <f>HYPERLINK("http://www.intercariforef.org/formations/certification-89253.html","89253")</f>
        <v>89253</v>
      </c>
      <c r="F1611" s="1">
        <v>42522</v>
      </c>
      <c r="G1611" s="1">
        <v>42522</v>
      </c>
    </row>
    <row r="1612">
      <c r="A1612" t="str">
        <v>Prévention sécurité</v>
      </c>
      <c r="B1612" t="str">
        <v>Formateur de formateurs en sauvetage secourisme du travail (SST)</v>
      </c>
      <c r="C1612" t="str">
        <v>Ministère de l'intérieur, Ministère du travail, Institut national de recherche et de sécurité</v>
      </c>
      <c r="D1612" t="str">
        <f>HYPERLINK("https://inventaire.cncp.gouv.fr/fiches/1735/","1735")</f>
        <v>1735</v>
      </c>
      <c r="E1612" t="str">
        <f>HYPERLINK("http://www.intercariforef.org/formations/certification-87575.html","87575")</f>
        <v>87575</v>
      </c>
      <c r="F1612" s="1">
        <v>42412</v>
      </c>
      <c r="G1612" s="1">
        <v>43125</v>
      </c>
    </row>
    <row r="1613">
      <c r="A1613" t="str">
        <v>Prévention sécurité</v>
      </c>
      <c r="B1613" t="str">
        <v>Formateur en sauvetage secourisme du travail (SST)</v>
      </c>
      <c r="C1613" t="str">
        <v>Institut national de recherche et de sécurité, Ministère de l'intérieur, Ministère du travail</v>
      </c>
      <c r="D1613" t="str">
        <f>HYPERLINK("https://inventaire.cncp.gouv.fr/fiches/720/","720")</f>
        <v>720</v>
      </c>
      <c r="E1613" t="str">
        <f>HYPERLINK("http://www.intercariforef.org/formations/certification-86204.html","86204")</f>
        <v>86204</v>
      </c>
      <c r="F1613" s="1">
        <v>42318</v>
      </c>
      <c r="G1613" s="1">
        <v>43125</v>
      </c>
    </row>
    <row r="1614">
      <c r="A1614" t="str">
        <v>Prévention sécurité</v>
      </c>
      <c r="B1614" t="str">
        <v>Formateur Ism-ATEX Electrique (Formateur installation Niveau 3-*E)</v>
      </c>
      <c r="C1614" t="str">
        <v>INERIS</v>
      </c>
      <c r="D1614" t="str">
        <f>HYPERLINK("https://inventaire.cncp.gouv.fr/fiches/1958/","1958")</f>
        <v>1958</v>
      </c>
      <c r="E1614" t="str">
        <f>HYPERLINK("http://www.intercariforef.org/formations/certification-88603.html","88603")</f>
        <v>88603</v>
      </c>
      <c r="F1614" s="1">
        <v>42482</v>
      </c>
      <c r="G1614" s="1">
        <v>42482</v>
      </c>
    </row>
    <row r="1615">
      <c r="A1615" t="str">
        <v>Prévention sécurité</v>
      </c>
      <c r="B1615" t="str">
        <v>Formateur Ism-ATEX Non Electrique (Formateur installation Niveau 3-*M)</v>
      </c>
      <c r="C1615" t="str">
        <v>INERIS</v>
      </c>
      <c r="D1615" t="str">
        <f>HYPERLINK("https://inventaire.cncp.gouv.fr/fiches/1960/","1960")</f>
        <v>1960</v>
      </c>
      <c r="E1615" t="str">
        <f>HYPERLINK("http://www.intercariforef.org/formations/certification-88601.html","88601")</f>
        <v>88601</v>
      </c>
      <c r="F1615" s="1">
        <v>42482</v>
      </c>
      <c r="G1615" s="1">
        <v>42482</v>
      </c>
    </row>
    <row r="1616">
      <c r="A1616" t="str">
        <v>Prévention sécurité</v>
      </c>
      <c r="B1616" t="str">
        <v>Formation Certifiante (CP FFP) "Référent Sécurité Prévention"</v>
      </c>
      <c r="C1616" t="str">
        <v>Fidal Formation</v>
      </c>
      <c r="D1616" t="str">
        <f>HYPERLINK("https://inventaire.cncp.gouv.fr/fiches/992/","992")</f>
        <v>992</v>
      </c>
      <c r="E1616" t="str">
        <f>HYPERLINK("http://www.intercariforef.org/formations/certification-85748.html","85748")</f>
        <v>85748</v>
      </c>
      <c r="F1616" s="1">
        <v>42277</v>
      </c>
      <c r="G1616" s="1">
        <v>42277</v>
      </c>
    </row>
    <row r="1617">
      <c r="A1617" t="str">
        <v>Prévention sécurité</v>
      </c>
      <c r="B1617" t="str">
        <v>Gérer et prévenir les risques psychosociaux</v>
      </c>
      <c r="C1617" t="str">
        <v>Ecole de psychologie du travail</v>
      </c>
      <c r="D1617" t="str">
        <f>HYPERLINK("https://inventaire.cncp.gouv.fr/fiches/3219/","3219")</f>
        <v>3219</v>
      </c>
      <c r="E1617" t="str">
        <f>HYPERLINK("http://www.intercariforef.org/formations/certification-102647.html","102647")</f>
        <v>102647</v>
      </c>
      <c r="F1617" s="1">
        <v>43299</v>
      </c>
      <c r="G1617" s="1">
        <v>43299</v>
      </c>
    </row>
    <row r="1618">
      <c r="A1618" t="str">
        <v>Prévention sécurité</v>
      </c>
      <c r="B1618" t="str">
        <v>Gestion de crise</v>
      </c>
      <c r="C1618" t="str">
        <v>Ecole supérieure de la sûreté des entreprises</v>
      </c>
      <c r="D1618" t="str">
        <f>HYPERLINK("https://inventaire.cncp.gouv.fr/fiches/2464/","2464")</f>
        <v>2464</v>
      </c>
      <c r="E1618" t="str">
        <f>HYPERLINK("http://www.intercariforef.org/formations/certification-100207.html","100207")</f>
        <v>100207</v>
      </c>
      <c r="F1618" s="1">
        <v>43154</v>
      </c>
      <c r="G1618" s="1">
        <v>43154</v>
      </c>
    </row>
    <row r="1619">
      <c r="A1619" t="str">
        <v>Prévention sécurité</v>
      </c>
      <c r="B1619" t="str">
        <v>Gestion des Situations opérationnelles à Risques</v>
      </c>
      <c r="C1619" t="str">
        <v>Université du Havre</v>
      </c>
      <c r="D1619" t="str">
        <f>HYPERLINK("https://inventaire.cncp.gouv.fr/fiches/3175/","3175")</f>
        <v>3175</v>
      </c>
      <c r="E1619" t="str">
        <f>HYPERLINK("http://www.intercariforef.org/formations/certification-100123.html","100123")</f>
        <v>100123</v>
      </c>
      <c r="F1619" s="1">
        <v>43153</v>
      </c>
      <c r="G1619" s="1">
        <v>43153</v>
      </c>
    </row>
    <row r="1620">
      <c r="A1620" t="str">
        <v>Prévention sécurité</v>
      </c>
      <c r="B1620" t="str">
        <v>Maintenir et actualiser ses compétences d'acteur prap - industrie, BTP, commerce</v>
      </c>
      <c r="C1620" t="str">
        <v>Ministère du travail, Institut national de recherche et de sécurité</v>
      </c>
      <c r="D1620" t="str">
        <f>HYPERLINK("https://inventaire.cncp.gouv.fr/fiches/1038/","1038")</f>
        <v>1038</v>
      </c>
      <c r="E1620" t="str">
        <f>HYPERLINK("http://www.intercariforef.org/formations/certification-85557.html","85557")</f>
        <v>85557</v>
      </c>
      <c r="F1620" s="1">
        <v>42269</v>
      </c>
      <c r="G1620" s="1">
        <v>43125</v>
      </c>
    </row>
    <row r="1621">
      <c r="A1621" t="str">
        <v>Prévention sécurité</v>
      </c>
      <c r="B1621" t="str">
        <v>Maintenir et actualiser ses compétences d'acteur prap - sanitaire et social</v>
      </c>
      <c r="C1621" t="str">
        <v>Ministère du travail, Institut national de recherche et de sécurité</v>
      </c>
      <c r="D1621" t="str">
        <f>HYPERLINK("https://inventaire.cncp.gouv.fr/fiches/1040/","1040")</f>
        <v>1040</v>
      </c>
      <c r="E1621" t="str">
        <f>HYPERLINK("http://www.intercariforef.org/formations/certification-85551.html","85551")</f>
        <v>85551</v>
      </c>
      <c r="F1621" s="1">
        <v>42269</v>
      </c>
      <c r="G1621" s="1">
        <v>43125</v>
      </c>
    </row>
    <row r="1622">
      <c r="A1622" t="str">
        <v>Prévention sécurité</v>
      </c>
      <c r="B1622" t="str">
        <v>Maintenir et actualiser ses compétences de sauveteur secouriste du travail</v>
      </c>
      <c r="C1622" t="str">
        <v>Institut national de recherche et de sécurité</v>
      </c>
      <c r="D1622" t="str">
        <f>HYPERLINK("https://inventaire.cncp.gouv.fr/fiches/727/","727")</f>
        <v>727</v>
      </c>
      <c r="E1622" t="str">
        <f>HYPERLINK("http://www.intercariforef.org/formations/certification-84739.html","84739")</f>
        <v>84739</v>
      </c>
      <c r="F1622" s="1">
        <v>42156</v>
      </c>
      <c r="G1622" s="1">
        <v>42156</v>
      </c>
    </row>
    <row r="1623">
      <c r="A1623" t="str">
        <v>Prévention sécurité</v>
      </c>
      <c r="B1623" t="str">
        <v>Management de la santé sécurité au travail</v>
      </c>
      <c r="C1623" t="str">
        <v>Cegos</v>
      </c>
      <c r="D1623" t="str">
        <f>HYPERLINK("https://inventaire.cncp.gouv.fr/fiches/3549/","3549")</f>
        <v>3549</v>
      </c>
      <c r="E1623" t="str">
        <f>HYPERLINK("http://www.intercariforef.org/formations/certification-104167.html","104167")</f>
        <v>104167</v>
      </c>
      <c r="F1623" s="1">
        <v>43398</v>
      </c>
      <c r="G1623" s="1">
        <v>43398</v>
      </c>
    </row>
    <row r="1624">
      <c r="A1624" t="str">
        <v>Prévention sécurité</v>
      </c>
      <c r="B1624" t="str">
        <v>Management de la sûreté</v>
      </c>
      <c r="C1624" t="str">
        <v>Ecole supérieure de la sûreté des entreprises</v>
      </c>
      <c r="D1624" t="str">
        <f>HYPERLINK("https://inventaire.cncp.gouv.fr/fiches/2453/","2453")</f>
        <v>2453</v>
      </c>
      <c r="E1624" t="str">
        <f>HYPERLINK("http://www.intercariforef.org/formations/certification-93815.html","93815")</f>
        <v>93815</v>
      </c>
      <c r="F1624" s="1">
        <v>42740</v>
      </c>
      <c r="G1624" s="1">
        <v>42740</v>
      </c>
    </row>
    <row r="1625">
      <c r="A1625" t="str">
        <v>Prévention sécurité</v>
      </c>
      <c r="B1625" t="str">
        <v>Management du risque de fraude et de corruption niveau 1</v>
      </c>
      <c r="C1625" t="str">
        <v>Ecole supérieure de la sûreté des entreprises</v>
      </c>
      <c r="D1625" t="str">
        <f>HYPERLINK("https://inventaire.cncp.gouv.fr/fiches/2926/","2926")</f>
        <v>2926</v>
      </c>
      <c r="E1625" t="str">
        <f>HYPERLINK("http://www.intercariforef.org/formations/certification-96541.html","96541")</f>
        <v>96541</v>
      </c>
      <c r="F1625" s="1">
        <v>42928</v>
      </c>
      <c r="G1625" s="1">
        <v>42928</v>
      </c>
    </row>
    <row r="1626">
      <c r="A1626" t="str">
        <v>Prévention sécurité</v>
      </c>
      <c r="B1626" t="str">
        <v>Management du risque de fraude et de corruption niveau 2</v>
      </c>
      <c r="C1626" t="str">
        <v>Ecole supérieure de la sûreté des entreprises</v>
      </c>
      <c r="D1626" t="str">
        <f>HYPERLINK("https://inventaire.cncp.gouv.fr/fiches/2928/","2928")</f>
        <v>2928</v>
      </c>
      <c r="E1626" t="str">
        <f>HYPERLINK("http://www.intercariforef.org/formations/certification-96539.html","96539")</f>
        <v>96539</v>
      </c>
      <c r="F1626" s="1">
        <v>42928</v>
      </c>
      <c r="G1626" s="1">
        <v>42928</v>
      </c>
    </row>
    <row r="1627">
      <c r="A1627" t="str">
        <v>Prévention sécurité</v>
      </c>
      <c r="B1627" t="str">
        <v>Management stratégique d'organisations à risques</v>
      </c>
      <c r="C1627" t="str">
        <v>Ecole supérieure de management (ESCP Europe)</v>
      </c>
      <c r="D1627" t="str">
        <f>HYPERLINK("https://inventaire.cncp.gouv.fr/fiches/3499/","3499")</f>
        <v>3499</v>
      </c>
      <c r="E1627" t="str">
        <f>HYPERLINK("http://www.intercariforef.org/formations/certification-100633.html","100633")</f>
        <v>100633</v>
      </c>
      <c r="F1627" s="1">
        <v>43193</v>
      </c>
      <c r="G1627" s="1">
        <v>43193</v>
      </c>
    </row>
    <row r="1628">
      <c r="A1628" t="str">
        <v>Prévention sécurité</v>
      </c>
      <c r="B1628" t="str">
        <v>Neutralisation et enlèvement des munitions conventionnelles (OCNEM)</v>
      </c>
      <c r="C1628" t="str">
        <v>Pôle Inter Armées de traitement du danger Munitions et Explosifs</v>
      </c>
      <c r="D1628" t="str">
        <f>HYPERLINK("https://inventaire.cncp.gouv.fr/fiches/3669/","3669")</f>
        <v>3669</v>
      </c>
      <c r="E1628" t="str">
        <f>HYPERLINK("http://www.intercariforef.org/formations/certification-102685.html","102685")</f>
        <v>102685</v>
      </c>
      <c r="F1628" s="1">
        <v>43301</v>
      </c>
      <c r="G1628" s="1">
        <v>43301</v>
      </c>
    </row>
    <row r="1629" ht="157.1" customHeight="1">
      <c r="A1629" t="str">
        <v>Prévention sécurité</v>
      </c>
      <c r="B1629" t="str">
        <v>Premiers secours en équipe niveau 1</v>
      </c>
      <c r="C1629" t="str">
        <v>Ministère des sports, 6e bataillon d'infanterie de marine, Aéroports de Paris, Association nationale des professionnels de la sécurité des pistes (ANPSP), Base aérienne n°104, Base aérienne n°188, Bataillon de commandement et de soutien de la brigade franco-allemande, Brigade des sapeurs-pompiers de Paris, Direction de la sécurité et de la sûreté nucléaire du commissariat à l'énergie atomique et aux énergies alternatives, Direction des sports (DS), Direction des sports (DS), Direction générale de la gendarmerie nationale (DGGN), Direction générale de la police nationale (DGPN), Direction générale de la santé, Ecole du Val-de-Grâce, Etat-major de la marine nationale, Fédération française des maîtres-nageurs sauveteurs, Fédération nationale de sapeurs-pompiers de France, Fédération nationale des métiers de la natation et du sport (FNMNS), Ministère de l'intérieur, Ministère des Armées, Ministère des sports, Opéra national de Paris, Service de surveillance et de sécurité du Sénat, Service médical de la présidence de la République, Société européenne de médecine de sapeurs-pompiers</v>
      </c>
      <c r="D1629" t="str">
        <f>HYPERLINK("https://inventaire.cncp.gouv.fr/fiches/2573/","2573")</f>
        <v>2573</v>
      </c>
      <c r="E1629" t="str">
        <f>HYPERLINK("http://www.intercariforef.org/formations/certification-55521.html","55521")</f>
        <v>55521</v>
      </c>
      <c r="F1629" s="1">
        <v>39409</v>
      </c>
      <c r="G1629" s="1">
        <v>43360</v>
      </c>
    </row>
    <row r="1630" ht="157.1" customHeight="1">
      <c r="A1630" t="str">
        <v>Prévention sécurité</v>
      </c>
      <c r="B1630" t="str">
        <v>Premiers secours en équipe niveau 2</v>
      </c>
      <c r="C1630" t="str">
        <v>Ministère de l'intérieur, Ministère des sports, 6e bataillon d'infanterie de marine, Aéroports de Paris, Association nationale des professionnels de la sécurité des pistes (ANPSP), Base aérienne n°104, Base aérienne n°188, Bataillon de commandement et de soutien de la brigade franco-allemande, Brigade des sapeurs-pompiers de Paris, Direction de la sécurité et de la sûreté nucléaire du commissariat à l'énergie atomique et aux énergies alternatives, Direction des sports (DS), Direction des sports (DS), Direction générale de la gendarmerie nationale (DGGN), Direction générale de la police nationale (DGPN), Direction générale de la santé, Division instruction santé des armées, Ecole du Val-de-Grâce, Etat-major de la marine nationale, Fédération française des maîtres-nageurs sauveteurs, Fédération nationale de sapeurs-pompiers de France, Fédération nationale des métiers de la natation et du sport (FNMNS), Ministère des Armées, Ministère des sports, Opéra national de Paris, Service de surveillance et de sécurité du Sénat, Service médical de la présidence de la République</v>
      </c>
      <c r="D1630" t="str">
        <f>HYPERLINK("https://inventaire.cncp.gouv.fr/fiches/2574/","2574")</f>
        <v>2574</v>
      </c>
      <c r="E1630" t="str">
        <f>HYPERLINK("http://www.intercariforef.org/formations/certification-50872.html","50872")</f>
        <v>50872</v>
      </c>
      <c r="F1630" s="1">
        <v>38443</v>
      </c>
      <c r="G1630" s="1">
        <v>43360</v>
      </c>
    </row>
    <row r="1631" ht="405.8500000000001" customHeight="1">
      <c r="A1631" t="str">
        <v>Prévention sécurité</v>
      </c>
      <c r="B1631" t="str">
        <v>Prévention et secours civiques de niveau 1</v>
      </c>
      <c r="C1631" t="str">
        <v>Fédération nationale de sapeurs-pompiers de France, Ministère de la culture, Ministère de la transition écologique et solidaire, Ministère de l'intérieur, Ministère des sports, 6e bataillon d'infanterie de marine, Aéroports de Paris, Aéroports de Paris, Association nationale des instructeurs et moniteurs de secourisme, Association nationale des professionnels de la sécurité des pistes (ANPSP), Association Secourir, Base aérienne n°104, Base aérienne n°188, Bataillon de commandement et de soutien de la brigade franco-allemande, Bataillon de commandement et de soutien de la brigade franco-allemande, Brigade des sapeurs-pompiers de Paris, Caisse des dépôts et consignations, Centre national d'enseignement et de développement du secourisme (CNEDS), Direction de la sécurité et de la sûreté nucléaire du commissariat à l'énergie atomique et aux énergies alternatives, Direction de l'administration pénitentiaire, Direction des sports (DS), Direction des sports (DS), Direction générale de la gendarmerie nationale (DGGN), Direction générale de la police nationale (DGPN), Direction générale de la sécurité civile et de la gestion des crises (DGSCGR) - Ministère de l'intérieur, Direction générale de l'enseignement scolaire (DGESCO), Direction générale des patrimoines, Ecole du Val-de-Grâce, Etat-major de la marine nationale, Fédération des Clubs de la Défense, Fédération française des maîtres-nageurs sauveteurs, Fédération française d'études et de sports sous-marins (FFESSM), Fédération nationale des métiers de la natation et du sport (FNMNS), Lycée français d'Alicante Pierre Deschamps (Espagne), Lycée français de Barcelone, Lycée français de Palma (Espagne), Lycée français de Prague, Lycée français de Shangai, Lycée français du Caire, Lycée français Gustave Flaubert de La Marsa, Lycée français international de Pékin, Lycée français Jean Mermoz de Dakar (Sénégal), Lycée français Molière de Villanueva de la Cañada (Madrid - Espagne), Lycée français Pierre Loti (République de Turquie), Lycée français Prins Henrik de Copenhague (Royaume du Danemark), Lycée franco-hellénique Eugène Delacroix d'Athènes (République hellénique), Lycée international Alexandre Dumas d'Alger (République algérienne), Lycée Pierre Mendès-France de Tunis (République tunisienne), Ministère de la cohésion des territoires, Ministère de la justice, Ministère de la transition écologique et solidaire, Ministère de l'éducation nationale, Ministère des Armées, Ministère des sports, Opéra national de Paris, Service de l'action administrative et de la modernisation, Service de surveillance et de sécurité du Sénat, Service médical de la présidence de la République, Société européenne de médecine de sapeurs-pompiers, Union française des oeuvres laïques d'éducation physique (UFOLEP), Union générale sportive de l'enseignement libre (UGSEL), Voies navigables de France (VNF)</v>
      </c>
      <c r="D1631" t="str">
        <f>HYPERLINK("https://inventaire.cncp.gouv.fr/fiches/2387/","2387")</f>
        <v>2387</v>
      </c>
      <c r="E1631" t="str">
        <f>HYPERLINK("http://www.intercariforef.org/formations/certification-56306.html","56306")</f>
        <v>56306</v>
      </c>
      <c r="F1631" s="1">
        <v>38443</v>
      </c>
      <c r="G1631" s="1">
        <v>43360</v>
      </c>
    </row>
    <row r="1632">
      <c r="A1632" t="str">
        <v>Prévention sécurité</v>
      </c>
      <c r="B1632" t="str">
        <v>Référent Prévention SSE</v>
      </c>
      <c r="C1632" t="str">
        <v>Union des industries et métiers de la métallurgie (UIMM)</v>
      </c>
      <c r="D1632" t="str">
        <f>HYPERLINK("https://inventaire.cncp.gouv.fr/fiches/1903/","1903")</f>
        <v>1903</v>
      </c>
      <c r="E1632" t="str">
        <f>HYPERLINK("http://www.intercariforef.org/formations/certification-88517.html","88517")</f>
        <v>88517</v>
      </c>
      <c r="F1632" s="1">
        <v>42466</v>
      </c>
      <c r="G1632" s="1">
        <v>42979</v>
      </c>
    </row>
    <row r="1633">
      <c r="A1633" t="str">
        <v>Prévention sécurité</v>
      </c>
      <c r="B1633" t="str">
        <v>Référent santé, sécurité et qualité de vie au travail</v>
      </c>
      <c r="C1633" t="str">
        <v>Cabinet MASTER</v>
      </c>
      <c r="D1633" t="str">
        <f>HYPERLINK("https://inventaire.cncp.gouv.fr/fiches/1768/","1768")</f>
        <v>1768</v>
      </c>
      <c r="E1633" t="str">
        <f>HYPERLINK("http://www.intercariforef.org/formations/certification-87633.html","87633")</f>
        <v>87633</v>
      </c>
      <c r="F1633" s="1">
        <v>42415</v>
      </c>
      <c r="G1633" s="1">
        <v>42979</v>
      </c>
    </row>
    <row r="1634">
      <c r="A1634" t="str">
        <v>Prévention sécurité</v>
      </c>
      <c r="B1634" t="str">
        <v>Risk Manager ISO 31000</v>
      </c>
      <c r="C1634" t="str">
        <v>AFNOR</v>
      </c>
      <c r="D1634" t="str">
        <f>HYPERLINK("https://inventaire.cncp.gouv.fr/fiches/3405/","3405")</f>
        <v>3405</v>
      </c>
      <c r="E1634" t="str">
        <f>HYPERLINK("http://www.intercariforef.org/formations/certification-102643.html","102643")</f>
        <v>102643</v>
      </c>
      <c r="F1634" s="1">
        <v>43299</v>
      </c>
      <c r="G1634" s="1">
        <v>43299</v>
      </c>
    </row>
    <row r="1635" ht="26.2" customHeight="1">
      <c r="A1635" t="str">
        <v>Prévention sécurité</v>
      </c>
      <c r="B1635" t="str">
        <v>Service de sécurité incendie et d'assistance aux personnes de niveau 1 (SSIAP 1) - diplôme d'agent de service</v>
      </c>
      <c r="C1635" t="str">
        <v>Ministère de l'intérieur</v>
      </c>
      <c r="D1635" t="str">
        <f>HYPERLINK("https://inventaire.cncp.gouv.fr/fiches/1399/","1399")</f>
        <v>1399</v>
      </c>
      <c r="E1635" t="str">
        <f>HYPERLINK("http://www.intercariforef.org/formations/certification-55515.html","55515")</f>
        <v>55515</v>
      </c>
      <c r="F1635" s="1">
        <v>39408</v>
      </c>
      <c r="G1635" s="1">
        <v>42394</v>
      </c>
    </row>
    <row r="1636" ht="26.2" customHeight="1">
      <c r="A1636" t="str">
        <v>Prévention sécurité</v>
      </c>
      <c r="B1636" t="str">
        <v>Service de sécurité incendie et d'assistance aux personnes de niveau 2 (SSIAP 2) - diplôme de chef d'équipe</v>
      </c>
      <c r="C1636" t="str">
        <v>Ministère de l'intérieur</v>
      </c>
      <c r="D1636" t="str">
        <f>HYPERLINK("https://inventaire.cncp.gouv.fr/fiches/1401/","1401")</f>
        <v>1401</v>
      </c>
      <c r="E1636" t="str">
        <f>HYPERLINK("http://www.intercariforef.org/formations/certification-55516.html","55516")</f>
        <v>55516</v>
      </c>
      <c r="F1636" s="1">
        <v>39408</v>
      </c>
      <c r="G1636" s="1">
        <v>42394</v>
      </c>
    </row>
    <row r="1637" ht="26.2" customHeight="1">
      <c r="A1637" t="str">
        <v>Prévention sécurité</v>
      </c>
      <c r="B1637" t="str">
        <v>Service de sécurité incendie et d'assistance aux personnes de niveau 3 (SSIAP 3) - diplôme de chef de service</v>
      </c>
      <c r="C1637" t="str">
        <v>Ministère de l'intérieur</v>
      </c>
      <c r="D1637" t="str">
        <f>HYPERLINK("https://inventaire.cncp.gouv.fr/fiches/1402/","1402")</f>
        <v>1402</v>
      </c>
      <c r="E1637" t="str">
        <f>HYPERLINK("http://www.intercariforef.org/formations/certification-55517.html","55517")</f>
        <v>55517</v>
      </c>
      <c r="F1637" s="1">
        <v>39408</v>
      </c>
      <c r="G1637" s="1">
        <v>42394</v>
      </c>
    </row>
    <row r="1638">
      <c r="A1638" t="str">
        <v>Prévention sécurité</v>
      </c>
      <c r="B1638" t="str">
        <v>Session en région "Politique de défense" de l'IHEDN</v>
      </c>
      <c r="C1638" t="str">
        <v>Ministère des Armées, Institut des hautes études de Défense nationale</v>
      </c>
      <c r="D1638" t="str">
        <f>HYPERLINK("https://inventaire.cncp.gouv.fr/fiches/2480/","2480")</f>
        <v>2480</v>
      </c>
      <c r="E1638" t="str">
        <f>HYPERLINK("http://www.intercariforef.org/formations/certification-97097.html","97097")</f>
        <v>97097</v>
      </c>
      <c r="F1638" s="1">
        <v>42978</v>
      </c>
      <c r="G1638" s="1">
        <v>43111</v>
      </c>
    </row>
    <row r="1639">
      <c r="A1639" t="str">
        <v>Prévention sécurité</v>
      </c>
      <c r="B1639" t="str">
        <v>Session nationale de l'IHEDN "Enjeux et stratégies maritimes"</v>
      </c>
      <c r="C1639" t="str">
        <v>Ministère des Armées, Institut des hautes études de Défense nationale</v>
      </c>
      <c r="D1639" t="str">
        <f>HYPERLINK("https://inventaire.cncp.gouv.fr/fiches/2481/","2481")</f>
        <v>2481</v>
      </c>
      <c r="E1639" t="str">
        <f>HYPERLINK("http://www.intercariforef.org/formations/certification-97095.html","97095")</f>
        <v>97095</v>
      </c>
      <c r="F1639" s="1">
        <v>42978</v>
      </c>
      <c r="G1639" s="1">
        <v>43111</v>
      </c>
    </row>
    <row r="1640">
      <c r="A1640" t="str">
        <v>Prévention sécurité</v>
      </c>
      <c r="B1640" t="str">
        <v>Typologie 1</v>
      </c>
      <c r="C1640" t="str">
        <v>Ministère de la transition écologique et solidaire</v>
      </c>
      <c r="D1640" t="str">
        <f>HYPERLINK("https://inventaire.cncp.gouv.fr/fiches/512/","512")</f>
        <v>512</v>
      </c>
      <c r="E1640" t="str">
        <f>HYPERLINK("http://www.intercariforef.org/formations/certification-84703.html","84703")</f>
        <v>84703</v>
      </c>
      <c r="F1640" s="1">
        <v>42156</v>
      </c>
      <c r="G1640" s="1">
        <v>43111</v>
      </c>
    </row>
    <row r="1641">
      <c r="A1641" t="str">
        <v>Prévention sécurité</v>
      </c>
      <c r="B1641" t="str">
        <v>Typologie 10</v>
      </c>
      <c r="C1641" t="str">
        <v>Ministère de la transition écologique et solidaire</v>
      </c>
      <c r="D1641" t="str">
        <f>HYPERLINK("https://inventaire.cncp.gouv.fr/fiches/524/","524")</f>
        <v>524</v>
      </c>
      <c r="E1641" t="str">
        <f>HYPERLINK("http://www.intercariforef.org/formations/certification-84708.html","84708")</f>
        <v>84708</v>
      </c>
      <c r="F1641" s="1">
        <v>42156</v>
      </c>
      <c r="G1641" s="1">
        <v>43111</v>
      </c>
    </row>
    <row r="1642">
      <c r="A1642" t="str">
        <v>Prévention sécurité</v>
      </c>
      <c r="B1642" t="str">
        <v>Typologie 2</v>
      </c>
      <c r="C1642" t="str">
        <v>Ministère de la transition écologique et solidaire</v>
      </c>
      <c r="D1642" t="str">
        <f>HYPERLINK("https://inventaire.cncp.gouv.fr/fiches/515/","515")</f>
        <v>515</v>
      </c>
      <c r="E1642" t="str">
        <f>HYPERLINK("http://www.intercariforef.org/formations/certification-84704.html","84704")</f>
        <v>84704</v>
      </c>
      <c r="F1642" s="1">
        <v>42156</v>
      </c>
      <c r="G1642" s="1">
        <v>43111</v>
      </c>
    </row>
    <row r="1643">
      <c r="A1643" t="str">
        <v>Prévention sécurité</v>
      </c>
      <c r="B1643" t="str">
        <v>Typologie 3</v>
      </c>
      <c r="C1643" t="str">
        <v>Ministère de la transition écologique et solidaire</v>
      </c>
      <c r="D1643" t="str">
        <f>HYPERLINK("https://inventaire.cncp.gouv.fr/fiches/516/","516")</f>
        <v>516</v>
      </c>
      <c r="E1643" t="str">
        <f>HYPERLINK("http://www.intercariforef.org/formations/certification-84705.html","84705")</f>
        <v>84705</v>
      </c>
      <c r="F1643" s="1">
        <v>42156</v>
      </c>
      <c r="G1643" s="1">
        <v>43111</v>
      </c>
    </row>
    <row r="1644">
      <c r="A1644" t="str">
        <v>Prévention sécurité</v>
      </c>
      <c r="B1644" t="str">
        <v>Typologie 4</v>
      </c>
      <c r="C1644" t="str">
        <v>Ministère de la transition écologique et solidaire</v>
      </c>
      <c r="D1644" t="str">
        <f>HYPERLINK("https://inventaire.cncp.gouv.fr/fiches/528/","528")</f>
        <v>528</v>
      </c>
      <c r="E1644" t="str">
        <f>HYPERLINK("http://www.intercariforef.org/formations/certification-84710.html","84710")</f>
        <v>84710</v>
      </c>
      <c r="F1644" s="1">
        <v>42156</v>
      </c>
      <c r="G1644" s="1">
        <v>43111</v>
      </c>
    </row>
    <row r="1645">
      <c r="A1645" t="str">
        <v>Prévention sécurité</v>
      </c>
      <c r="B1645" t="str">
        <v>Typologie 5</v>
      </c>
      <c r="C1645" t="str">
        <v>Ministère de la transition écologique et solidaire</v>
      </c>
      <c r="D1645" t="str">
        <f>HYPERLINK("https://inventaire.cncp.gouv.fr/fiches/527/","527")</f>
        <v>527</v>
      </c>
      <c r="E1645" t="str">
        <f>HYPERLINK("http://www.intercariforef.org/formations/certification-84707.html","84707")</f>
        <v>84707</v>
      </c>
      <c r="F1645" s="1">
        <v>42156</v>
      </c>
      <c r="G1645" s="1">
        <v>43111</v>
      </c>
    </row>
    <row r="1646">
      <c r="A1646" t="str">
        <v>Prévention sécurité</v>
      </c>
      <c r="B1646" t="str">
        <v>Typologie 6</v>
      </c>
      <c r="C1646" t="str">
        <v>Ministère de la transition écologique et solidaire</v>
      </c>
      <c r="D1646" t="str">
        <f>HYPERLINK("https://inventaire.cncp.gouv.fr/fiches/526/","526")</f>
        <v>526</v>
      </c>
      <c r="E1646" t="str">
        <f>HYPERLINK("http://www.intercariforef.org/formations/certification-84709.html","84709")</f>
        <v>84709</v>
      </c>
      <c r="F1646" s="1">
        <v>42156</v>
      </c>
      <c r="G1646" s="1">
        <v>43111</v>
      </c>
    </row>
    <row r="1647">
      <c r="A1647" t="str">
        <v>Prévention sécurité</v>
      </c>
      <c r="B1647" t="str">
        <v>Typologie 7</v>
      </c>
      <c r="C1647" t="str">
        <v>Ministère de la transition écologique et solidaire</v>
      </c>
      <c r="D1647" t="str">
        <f>HYPERLINK("https://inventaire.cncp.gouv.fr/fiches/521/","521")</f>
        <v>521</v>
      </c>
      <c r="E1647" t="str">
        <f>HYPERLINK("http://www.intercariforef.org/formations/certification-84706.html","84706")</f>
        <v>84706</v>
      </c>
      <c r="F1647" s="1">
        <v>42156</v>
      </c>
      <c r="G1647" s="1">
        <v>43111</v>
      </c>
    </row>
    <row r="1648">
      <c r="A1648" t="str">
        <v>Prévention sécurité</v>
      </c>
      <c r="B1648" t="str">
        <v>Typologie 8</v>
      </c>
      <c r="C1648" t="str">
        <v>Ministère de la transition écologique et solidaire</v>
      </c>
      <c r="D1648" t="str">
        <f>HYPERLINK("https://inventaire.cncp.gouv.fr/fiches/529/","529")</f>
        <v>529</v>
      </c>
      <c r="E1648" t="str">
        <f>HYPERLINK("http://www.intercariforef.org/formations/certification-84711.html","84711")</f>
        <v>84711</v>
      </c>
      <c r="F1648" s="1">
        <v>42156</v>
      </c>
      <c r="G1648" s="1">
        <v>43111</v>
      </c>
    </row>
    <row r="1649">
      <c r="A1649" t="str">
        <v>Prévention sécurité</v>
      </c>
      <c r="B1649" t="str">
        <v>Typologie 9</v>
      </c>
      <c r="C1649" t="str">
        <v>Ministère de la transition écologique et solidaire</v>
      </c>
      <c r="D1649" t="str">
        <f>HYPERLINK("https://inventaire.cncp.gouv.fr/fiches/531/","531")</f>
        <v>531</v>
      </c>
      <c r="E1649" t="str">
        <f>HYPERLINK("http://www.intercariforef.org/formations/certification-84712.html","84712")</f>
        <v>84712</v>
      </c>
      <c r="F1649" s="1">
        <v>42156</v>
      </c>
      <c r="G1649" s="1">
        <v>43111</v>
      </c>
    </row>
    <row r="1650" ht="26.2" customHeight="1">
      <c r="A1650" t="str">
        <v>Psychologie</v>
      </c>
      <c r="B1650" t="str">
        <v>Certificat de compétence à l'Animation d'Ateliers d'Expression Créatrice Centrés sur le Soin à la Personne</v>
      </c>
      <c r="C1650" t="str">
        <v>SGNEW Art Cru</v>
      </c>
      <c r="D1650" t="str">
        <f>HYPERLINK("https://inventaire.cncp.gouv.fr/fiches/2569/","2569")</f>
        <v>2569</v>
      </c>
      <c r="E1650" t="str">
        <f>HYPERLINK("http://www.intercariforef.org/formations/certification-95237.html","95237")</f>
        <v>95237</v>
      </c>
      <c r="F1650" s="1">
        <v>42851</v>
      </c>
      <c r="G1650" s="1">
        <v>42851</v>
      </c>
    </row>
    <row r="1651">
      <c r="A1651" t="str">
        <v>Qualité</v>
      </c>
      <c r="B1651" t="str">
        <v>Amélioration des processus niveau « Jaune » - Lean / Lean Six Sigma Yellow Belt</v>
      </c>
      <c r="C1651" t="str">
        <v>Ecole polytechnique</v>
      </c>
      <c r="D1651" t="str">
        <f>HYPERLINK("https://inventaire.cncp.gouv.fr/fiches/1476/","1476")</f>
        <v>1476</v>
      </c>
      <c r="E1651" t="str">
        <f>HYPERLINK("http://www.intercariforef.org/formations/certification-88535.html","88535")</f>
        <v>88535</v>
      </c>
      <c r="F1651" s="1">
        <v>42467</v>
      </c>
      <c r="G1651" s="1">
        <v>42979</v>
      </c>
    </row>
    <row r="1652">
      <c r="A1652" t="str">
        <v>Qualité</v>
      </c>
      <c r="B1652" t="str">
        <v>Amélioration des processus niveau « Vert » - Lean / Lean Six Sigma Green Belt</v>
      </c>
      <c r="C1652" t="str">
        <v>Ecole polytechnique</v>
      </c>
      <c r="D1652" t="str">
        <f>HYPERLINK("https://inventaire.cncp.gouv.fr/fiches/1428/","1428")</f>
        <v>1428</v>
      </c>
      <c r="E1652" t="str">
        <f>HYPERLINK("http://www.intercariforef.org/formations/certification-88527.html","88527")</f>
        <v>88527</v>
      </c>
      <c r="F1652" s="1">
        <v>42467</v>
      </c>
      <c r="G1652" s="1">
        <v>42979</v>
      </c>
    </row>
    <row r="1653">
      <c r="A1653" t="str">
        <v>Qualité</v>
      </c>
      <c r="B1653" t="str">
        <v>Assurance qualité amélioration continue en industrie de santé</v>
      </c>
      <c r="C1653" t="str">
        <v>Institut de formation industrie de santé (IFIS)</v>
      </c>
      <c r="D1653" t="str">
        <f>HYPERLINK("https://inventaire.cncp.gouv.fr/fiches/1986/","1986")</f>
        <v>1986</v>
      </c>
      <c r="E1653" t="str">
        <f>HYPERLINK("http://www.intercariforef.org/formations/certification-89189.html","89189")</f>
        <v>89189</v>
      </c>
      <c r="F1653" s="1">
        <v>42521</v>
      </c>
      <c r="G1653" s="1">
        <v>42521</v>
      </c>
    </row>
    <row r="1654">
      <c r="A1654" t="str">
        <v>Qualité</v>
      </c>
      <c r="B1654" t="str">
        <v>Assurance qualité libération en industrie de santé</v>
      </c>
      <c r="C1654" t="str">
        <v>Institut de formation industrie de santé (IFIS)</v>
      </c>
      <c r="D1654" t="str">
        <f>HYPERLINK("https://inventaire.cncp.gouv.fr/fiches/1985/","1985")</f>
        <v>1985</v>
      </c>
      <c r="E1654" t="str">
        <f>HYPERLINK("http://www.intercariforef.org/formations/certification-89191.html","89191")</f>
        <v>89191</v>
      </c>
      <c r="F1654" s="1">
        <v>42521</v>
      </c>
      <c r="G1654" s="1">
        <v>42521</v>
      </c>
    </row>
    <row r="1655">
      <c r="A1655" t="str">
        <v>Qualité</v>
      </c>
      <c r="B1655" t="str">
        <v>Assurance qualité supply chain en industrie de santé</v>
      </c>
      <c r="C1655" t="str">
        <v>Institut de formation industrie de santé (IFIS)</v>
      </c>
      <c r="D1655" t="str">
        <f>HYPERLINK("https://inventaire.cncp.gouv.fr/fiches/1984/","1984")</f>
        <v>1984</v>
      </c>
      <c r="E1655" t="str">
        <f>HYPERLINK("http://www.intercariforef.org/formations/certification-89187.html","89187")</f>
        <v>89187</v>
      </c>
      <c r="F1655" s="1">
        <v>42521</v>
      </c>
      <c r="G1655" s="1">
        <v>42521</v>
      </c>
    </row>
    <row r="1656">
      <c r="A1656" t="str">
        <v>Qualité</v>
      </c>
      <c r="B1656" t="str">
        <v>Assurance qualité système en industrie de santé</v>
      </c>
      <c r="C1656" t="str">
        <v>Institut de formation industrie de santé (IFIS)</v>
      </c>
      <c r="D1656" t="str">
        <f>HYPERLINK("https://inventaire.cncp.gouv.fr/fiches/1976/","1976")</f>
        <v>1976</v>
      </c>
      <c r="E1656" t="str">
        <f>HYPERLINK("http://www.intercariforef.org/formations/certification-89193.html","89193")</f>
        <v>89193</v>
      </c>
      <c r="F1656" s="1">
        <v>42521</v>
      </c>
      <c r="G1656" s="1">
        <v>42521</v>
      </c>
    </row>
    <row r="1657">
      <c r="A1657" t="str">
        <v>Qualité</v>
      </c>
      <c r="B1657" t="str">
        <v>Auditeur ICA QSE Intégré</v>
      </c>
      <c r="C1657" t="str">
        <v>AFNOR</v>
      </c>
      <c r="D1657" t="str">
        <f>HYPERLINK("https://inventaire.cncp.gouv.fr/fiches/931/","931")</f>
        <v>931</v>
      </c>
      <c r="E1657" t="str">
        <f>HYPERLINK("http://www.intercariforef.org/formations/certification-85039.html","85039")</f>
        <v>85039</v>
      </c>
      <c r="F1657" s="1">
        <v>42185</v>
      </c>
      <c r="G1657" s="1">
        <v>42185</v>
      </c>
    </row>
    <row r="1658">
      <c r="A1658" t="str">
        <v>Qualité</v>
      </c>
      <c r="B1658" t="str">
        <v>Auditeur IRCA de système de management SST (conversion)</v>
      </c>
      <c r="C1658" t="str">
        <v>AFNOR</v>
      </c>
      <c r="D1658" t="str">
        <f>HYPERLINK("https://inventaire.cncp.gouv.fr/fiches/1013/","1013")</f>
        <v>1013</v>
      </c>
      <c r="E1658" t="str">
        <f>HYPERLINK("http://www.intercariforef.org/formations/certification-85041.html","85041")</f>
        <v>85041</v>
      </c>
      <c r="F1658" s="1">
        <v>42185</v>
      </c>
      <c r="G1658" s="1">
        <v>42185</v>
      </c>
    </row>
    <row r="1659">
      <c r="A1659" t="str">
        <v>Qualité</v>
      </c>
      <c r="B1659" t="str">
        <v>Certificat d'acquis professionnels "Technicien en qualité"</v>
      </c>
      <c r="C1659" t="str">
        <v>AFNOR</v>
      </c>
      <c r="D1659" t="str">
        <f>HYPERLINK("https://inventaire.cncp.gouv.fr/fiches/1782/","1782")</f>
        <v>1782</v>
      </c>
      <c r="E1659" t="str">
        <f>HYPERLINK("http://www.intercariforef.org/formations/certification-94767.html","94767")</f>
        <v>94767</v>
      </c>
      <c r="F1659" s="1">
        <v>42832</v>
      </c>
      <c r="G1659" s="1">
        <v>42979</v>
      </c>
    </row>
    <row r="1660">
      <c r="A1660" t="str">
        <v>Qualité</v>
      </c>
      <c r="B1660" t="str">
        <v>Certificat d'acquis professionnels Responsable de système QSE</v>
      </c>
      <c r="C1660" t="str">
        <v>AFNOR</v>
      </c>
      <c r="D1660" t="str">
        <f>HYPERLINK("https://inventaire.cncp.gouv.fr/fiches/1747/","1747")</f>
        <v>1747</v>
      </c>
      <c r="E1660" t="str">
        <f>HYPERLINK("http://www.intercariforef.org/formations/certification-95257.html","95257")</f>
        <v>95257</v>
      </c>
      <c r="F1660" s="1">
        <v>42851</v>
      </c>
      <c r="G1660" s="1">
        <v>43152</v>
      </c>
    </row>
    <row r="1661">
      <c r="A1661" t="str">
        <v>Qualité</v>
      </c>
      <c r="B1661" t="str">
        <v>Certificat d'acquis professionnels Responsable qualité et contrôle interne</v>
      </c>
      <c r="C1661" t="str">
        <v>AFNOR</v>
      </c>
      <c r="D1661" t="str">
        <f>HYPERLINK("https://inventaire.cncp.gouv.fr/fiches/1746/","1746")</f>
        <v>1746</v>
      </c>
      <c r="E1661" t="str">
        <f>HYPERLINK("http://www.intercariforef.org/formations/certification-95259.html","95259")</f>
        <v>95259</v>
      </c>
      <c r="F1661" s="1">
        <v>42851</v>
      </c>
      <c r="G1661" s="1">
        <v>43152</v>
      </c>
    </row>
    <row r="1662">
      <c r="A1662" t="str">
        <v>Qualité</v>
      </c>
      <c r="B1662" t="str">
        <v>Certificat d'acquis professionnels Technicien QHSE</v>
      </c>
      <c r="C1662" t="str">
        <v>AFNOR</v>
      </c>
      <c r="D1662" t="str">
        <f>HYPERLINK("https://inventaire.cncp.gouv.fr/fiches/1757/","1757")</f>
        <v>1757</v>
      </c>
      <c r="E1662" t="str">
        <f>HYPERLINK("http://www.intercariforef.org/formations/certification-95255.html","95255")</f>
        <v>95255</v>
      </c>
      <c r="F1662" s="1">
        <v>42851</v>
      </c>
      <c r="G1662" s="1">
        <v>43152</v>
      </c>
    </row>
    <row r="1663" ht="26.2" customHeight="1">
      <c r="A1663" t="str">
        <v>Qualité</v>
      </c>
      <c r="B1663" t="str">
        <v>Certificat d'aptitude à manipuler les appareils de radiologie industrielle (CAMARI) option accélérateur de particules</v>
      </c>
      <c r="C1663" t="str">
        <v>Ministère du travail, Institut de radioprotection et de sûreté nucléaire (IRSN)</v>
      </c>
      <c r="D1663" t="str">
        <f>HYPERLINK("https://inventaire.cncp.gouv.fr/fiches/2113/","2113")</f>
        <v>2113</v>
      </c>
      <c r="E1663" t="str">
        <f>HYPERLINK("http://www.intercariforef.org/formations/certification-56308.html","56308")</f>
        <v>56308</v>
      </c>
      <c r="F1663" s="1">
        <v>39450</v>
      </c>
      <c r="G1663" s="1">
        <v>43125</v>
      </c>
    </row>
    <row r="1664" ht="26.2" customHeight="1">
      <c r="A1664" t="str">
        <v>Qualité</v>
      </c>
      <c r="B1664" t="str">
        <v>Certificat d'aptitude à manipuler les appareils de radiologie industrielle (CAMARI) option appareil de radiologie industrielle</v>
      </c>
      <c r="C1664" t="str">
        <v>Ministère du travail, Institut de radioprotection et de sûreté nucléaire (IRSN)</v>
      </c>
      <c r="D1664" t="str">
        <f>HYPERLINK("https://inventaire.cncp.gouv.fr/fiches/2113/","2113")</f>
        <v>2113</v>
      </c>
      <c r="E1664" t="str">
        <f>HYPERLINK("http://www.intercariforef.org/formations/certification-56309.html","56309")</f>
        <v>56309</v>
      </c>
      <c r="F1664" s="1">
        <v>39450</v>
      </c>
      <c r="G1664" s="1">
        <v>43125</v>
      </c>
    </row>
    <row r="1665" ht="26.2" customHeight="1">
      <c r="A1665" t="str">
        <v>Qualité</v>
      </c>
      <c r="B1665" t="str">
        <v>Certificat d'aptitude à manipuler les appareils de radiologie industrielle (CAMARI) option générateur électrique de rayons X</v>
      </c>
      <c r="C1665" t="str">
        <v>Ministère du travail, Institut de radioprotection et de sûreté nucléaire (IRSN)</v>
      </c>
      <c r="D1665" t="str">
        <f>HYPERLINK("https://inventaire.cncp.gouv.fr/fiches/2113/","2113")</f>
        <v>2113</v>
      </c>
      <c r="E1665" t="str">
        <f>HYPERLINK("http://www.intercariforef.org/formations/certification-56307.html","56307")</f>
        <v>56307</v>
      </c>
      <c r="F1665" s="1">
        <v>38443</v>
      </c>
      <c r="G1665" s="1">
        <v>43125</v>
      </c>
    </row>
    <row r="1666">
      <c r="A1666" t="str">
        <v>Qualité</v>
      </c>
      <c r="B1666" t="str">
        <v>Certificat de compétences "Auditeur interne qualité"</v>
      </c>
      <c r="C1666" t="str">
        <v>AFNOR</v>
      </c>
      <c r="D1666" t="str">
        <f>HYPERLINK("https://inventaire.cncp.gouv.fr/fiches/1862/","1862")</f>
        <v>1862</v>
      </c>
      <c r="E1666" t="str">
        <f>HYPERLINK("http://www.intercariforef.org/formations/certification-94097.html","94097")</f>
        <v>94097</v>
      </c>
      <c r="F1666" s="1">
        <v>42760</v>
      </c>
      <c r="G1666" s="1">
        <v>43152</v>
      </c>
    </row>
    <row r="1667">
      <c r="A1667" t="str">
        <v>Qualité</v>
      </c>
      <c r="B1667" t="str">
        <v>Certificat de compétences "Auditeur qualité fournisseur"</v>
      </c>
      <c r="C1667" t="str">
        <v>AFNOR</v>
      </c>
      <c r="D1667" t="str">
        <f>HYPERLINK("https://inventaire.cncp.gouv.fr/fiches/1868/","1868")</f>
        <v>1868</v>
      </c>
      <c r="E1667" t="str">
        <f>HYPERLINK("http://www.intercariforef.org/formations/certification-93989.html","93989")</f>
        <v>93989</v>
      </c>
      <c r="F1667" s="1">
        <v>42745</v>
      </c>
      <c r="G1667" s="1">
        <v>43152</v>
      </c>
    </row>
    <row r="1668">
      <c r="A1668" t="str">
        <v>Qualité</v>
      </c>
      <c r="B1668" t="str">
        <v>Certificat de compétences en entreprise (CCE) Développer la qualité au service du client</v>
      </c>
      <c r="C1668" t="str">
        <v>CCI France - Assemblée des chambres françaises de commerce et d'industrie</v>
      </c>
      <c r="D1668" t="str">
        <f>HYPERLINK("https://inventaire.cncp.gouv.fr/fiches/3817/","3817")</f>
        <v>3817</v>
      </c>
      <c r="E1668" t="str">
        <f>HYPERLINK("http://www.intercariforef.org/formations/certification-102157.html","102157")</f>
        <v>102157</v>
      </c>
      <c r="F1668" s="1">
        <v>43293</v>
      </c>
      <c r="G1668" s="1">
        <v>43293</v>
      </c>
    </row>
    <row r="1669">
      <c r="A1669" t="str">
        <v>Qualité</v>
      </c>
      <c r="B1669" t="str">
        <v>Certificat Manager la qualité dans un laboratoire d'analyses, d'essais et d'étalonnages</v>
      </c>
      <c r="C1669" t="str">
        <v>AFNOR</v>
      </c>
      <c r="D1669" t="str">
        <f>HYPERLINK("https://inventaire.cncp.gouv.fr/fiches/4094/","4094")</f>
        <v>4094</v>
      </c>
      <c r="E1669" t="str">
        <f>HYPERLINK("http://www.intercariforef.org/formations/certification-103901.html","103901")</f>
        <v>103901</v>
      </c>
      <c r="F1669" s="1">
        <v>43390</v>
      </c>
      <c r="G1669" s="1">
        <v>43390</v>
      </c>
    </row>
    <row r="1670">
      <c r="A1670" t="str">
        <v>Qualité</v>
      </c>
      <c r="B1670" t="str">
        <v>Certificat Mener un audit dans un organisme fournisseur de prestations de formation</v>
      </c>
      <c r="C1670" t="str">
        <v>AFNOR</v>
      </c>
      <c r="D1670" t="str">
        <f>HYPERLINK("https://inventaire.cncp.gouv.fr/fiches/3982/","3982")</f>
        <v>3982</v>
      </c>
      <c r="E1670" t="str">
        <f>HYPERLINK("http://www.intercariforef.org/formations/certification-103915.html","103915")</f>
        <v>103915</v>
      </c>
      <c r="F1670" s="1">
        <v>43390</v>
      </c>
      <c r="G1670" s="1">
        <v>43390</v>
      </c>
    </row>
    <row r="1671">
      <c r="A1671" t="str">
        <v>Qualité</v>
      </c>
      <c r="B1671" t="str">
        <v>Certification animateur qualité sur un site de production pharmaceutique</v>
      </c>
      <c r="C1671" t="str">
        <v>Centre de formation pour l'industrie et la recherche appliquée</v>
      </c>
      <c r="D1671" t="str">
        <f>HYPERLINK("https://inventaire.cncp.gouv.fr/fiches/1997/","1997")</f>
        <v>1997</v>
      </c>
      <c r="E1671" t="str">
        <f>HYPERLINK("http://www.intercariforef.org/formations/certification-89173.html","89173")</f>
        <v>89173</v>
      </c>
      <c r="F1671" s="1">
        <v>42521</v>
      </c>
      <c r="G1671" s="1">
        <v>42521</v>
      </c>
    </row>
    <row r="1672">
      <c r="A1672" t="str">
        <v>Qualité</v>
      </c>
      <c r="B1672" t="str">
        <v>Certification auditeur externe dans les industries de santé</v>
      </c>
      <c r="C1672" t="str">
        <v>Centre de formation pour l'industrie et la recherche appliquée</v>
      </c>
      <c r="D1672" t="str">
        <f>HYPERLINK("https://inventaire.cncp.gouv.fr/fiches/2009/","2009")</f>
        <v>2009</v>
      </c>
      <c r="E1672" t="str">
        <f>HYPERLINK("http://www.intercariforef.org/formations/certification-89167.html","89167")</f>
        <v>89167</v>
      </c>
      <c r="F1672" s="1">
        <v>42521</v>
      </c>
      <c r="G1672" s="1">
        <v>42521</v>
      </c>
    </row>
    <row r="1673">
      <c r="A1673" t="str">
        <v>Qualité</v>
      </c>
      <c r="B1673" t="str">
        <v>Certification audits qualité dans les industries de santé et fournisseurs des industries de santé</v>
      </c>
      <c r="C1673" t="str">
        <v>Université de Bordeaux</v>
      </c>
      <c r="D1673" t="str">
        <f>HYPERLINK("https://inventaire.cncp.gouv.fr/fiches/3186/","3186")</f>
        <v>3186</v>
      </c>
      <c r="E1673" t="str">
        <f>HYPERLINK("http://www.intercariforef.org/formations/certification-99177.html","99177")</f>
        <v>99177</v>
      </c>
      <c r="F1673" s="1">
        <v>43076</v>
      </c>
      <c r="G1673" s="1">
        <v>43076</v>
      </c>
    </row>
    <row r="1674">
      <c r="A1674" t="str">
        <v>Qualité</v>
      </c>
      <c r="B1674" t="str">
        <v>Certification de Compétence d'Ingénieur Professionnel en Qualité</v>
      </c>
      <c r="C1674" t="str">
        <v>Société Nationale des Ingénieurs Professionnels de France</v>
      </c>
      <c r="D1674" t="str">
        <f>HYPERLINK("https://inventaire.cncp.gouv.fr/fiches/2906/","2906")</f>
        <v>2906</v>
      </c>
      <c r="E1674" t="str">
        <f>HYPERLINK("http://www.intercariforef.org/formations/certification-98633.html","98633")</f>
        <v>98633</v>
      </c>
      <c r="F1674" s="1">
        <v>43038</v>
      </c>
      <c r="G1674" s="1">
        <v>43038</v>
      </c>
    </row>
    <row r="1675" ht="26.2" customHeight="1">
      <c r="A1675" t="str">
        <v>Qualité</v>
      </c>
      <c r="B1675" t="str">
        <v>Certification de compétences et connaissances règlementaires sur les bonnes pratiques de fabrication du médicament - Certification VisaePharma</v>
      </c>
      <c r="C1675" t="str">
        <v>Institut de formation industrie de santé (IFIS)</v>
      </c>
      <c r="D1675" t="str">
        <f>HYPERLINK("https://inventaire.cncp.gouv.fr/fiches/2426/","2426")</f>
        <v>2426</v>
      </c>
      <c r="E1675" t="str">
        <f>HYPERLINK("http://www.intercariforef.org/formations/certification-94165.html","94165")</f>
        <v>94165</v>
      </c>
      <c r="F1675" s="1">
        <v>42772</v>
      </c>
      <c r="G1675" s="1">
        <v>42772</v>
      </c>
    </row>
    <row r="1676">
      <c r="A1676" t="str">
        <v>Qualité</v>
      </c>
      <c r="B1676" t="str">
        <v>Certification de personnel réalisant des contrôles non destructif d'assemblages soudés</v>
      </c>
      <c r="C1676" t="str">
        <v>COFREND</v>
      </c>
      <c r="D1676" t="str">
        <f>HYPERLINK("https://inventaire.cncp.gouv.fr/fiches/1306/","1306")</f>
        <v>1306</v>
      </c>
      <c r="E1676" t="str">
        <f>HYPERLINK("http://www.intercariforef.org/formations/certification-86220.html","86220")</f>
        <v>86220</v>
      </c>
      <c r="F1676" s="1">
        <v>42320</v>
      </c>
      <c r="G1676" s="1">
        <v>42320</v>
      </c>
    </row>
    <row r="1677">
      <c r="A1677" t="str">
        <v>Qualité</v>
      </c>
      <c r="B1677" t="str">
        <v>Certification en assurance qualité site exploitant dans l'industrie pharmaceutique</v>
      </c>
      <c r="C1677" t="str">
        <v>Institut de formation industrie de santé (IFIS)</v>
      </c>
      <c r="D1677" t="str">
        <f>HYPERLINK("https://inventaire.cncp.gouv.fr/fiches/657/","657")</f>
        <v>657</v>
      </c>
      <c r="E1677" t="str">
        <f>HYPERLINK("http://www.intercariforef.org/formations/certification-84947.html","84947")</f>
        <v>84947</v>
      </c>
      <c r="F1677" s="1">
        <v>42178</v>
      </c>
      <c r="G1677" s="1">
        <v>42178</v>
      </c>
    </row>
    <row r="1678">
      <c r="A1678" t="str">
        <v>Qualité</v>
      </c>
      <c r="B1678" t="str">
        <v>Certification en audit des façonniers de l'industrie pharmaceutique</v>
      </c>
      <c r="C1678" t="str">
        <v>Institut de formation industrie de santé (IFIS)</v>
      </c>
      <c r="D1678" t="str">
        <f>HYPERLINK("https://inventaire.cncp.gouv.fr/fiches/669/","669")</f>
        <v>669</v>
      </c>
      <c r="E1678" t="str">
        <f>HYPERLINK("http://www.intercariforef.org/formations/certification-84949.html","84949")</f>
        <v>84949</v>
      </c>
      <c r="F1678" s="1">
        <v>42178</v>
      </c>
      <c r="G1678" s="1">
        <v>42178</v>
      </c>
    </row>
    <row r="1679">
      <c r="A1679" t="str">
        <v>Qualité</v>
      </c>
      <c r="B1679" t="str">
        <v>Certification en audit des fournisseurs de matières premières de l'industrie pharmaceutique</v>
      </c>
      <c r="C1679" t="str">
        <v>Institut de formation industrie de santé (IFIS)</v>
      </c>
      <c r="D1679" t="str">
        <f>HYPERLINK("https://inventaire.cncp.gouv.fr/fiches/670/","670")</f>
        <v>670</v>
      </c>
      <c r="E1679" t="str">
        <f>HYPERLINK("http://www.intercariforef.org/formations/certification-84956.html","84956")</f>
        <v>84956</v>
      </c>
      <c r="F1679" s="1">
        <v>42178</v>
      </c>
      <c r="G1679" s="1">
        <v>42178</v>
      </c>
    </row>
    <row r="1680" ht="26.2" customHeight="1">
      <c r="A1680" t="str">
        <v>Qualité</v>
      </c>
      <c r="B1680" t="str">
        <v>Certification en audit des fournisseurs des articles de conditionnement de l'industrie pharmaceutique</v>
      </c>
      <c r="C1680" t="str">
        <v>Institut de formation industrie de santé (IFIS)</v>
      </c>
      <c r="D1680" t="str">
        <f>HYPERLINK("https://inventaire.cncp.gouv.fr/fiches/674/","674")</f>
        <v>674</v>
      </c>
      <c r="E1680" t="str">
        <f>HYPERLINK("http://www.intercariforef.org/formations/certification-84957.html","84957")</f>
        <v>84957</v>
      </c>
      <c r="F1680" s="1">
        <v>42178</v>
      </c>
      <c r="G1680" s="1">
        <v>42178</v>
      </c>
    </row>
    <row r="1681">
      <c r="A1681" t="str">
        <v>Qualité</v>
      </c>
      <c r="B1681" t="str">
        <v>Certification en audit interne des sites de production de l'industrie pharmaceutique</v>
      </c>
      <c r="C1681" t="str">
        <v>Institut de formation industrie de santé (IFIS)</v>
      </c>
      <c r="D1681" t="str">
        <f>HYPERLINK("https://inventaire.cncp.gouv.fr/fiches/667/","667")</f>
        <v>667</v>
      </c>
      <c r="E1681" t="str">
        <f>HYPERLINK("http://www.intercariforef.org/formations/certification-84959.html","84959")</f>
        <v>84959</v>
      </c>
      <c r="F1681" s="1">
        <v>42178</v>
      </c>
      <c r="G1681" s="1">
        <v>42178</v>
      </c>
    </row>
    <row r="1682">
      <c r="A1682" t="str">
        <v>Qualité</v>
      </c>
      <c r="B1682" t="str">
        <v>Certification gestionnaire de la qualité au laboratoire de contrôle dans les industries de santé</v>
      </c>
      <c r="C1682" t="str">
        <v>Centre de formation pour l'industrie et la recherche appliquée</v>
      </c>
      <c r="D1682" t="str">
        <f>HYPERLINK("https://inventaire.cncp.gouv.fr/fiches/2280/","2280")</f>
        <v>2280</v>
      </c>
      <c r="E1682" t="str">
        <f>HYPERLINK("http://www.intercariforef.org/formations/certification-92055.html","92055")</f>
        <v>92055</v>
      </c>
      <c r="F1682" s="1">
        <v>42667</v>
      </c>
      <c r="G1682" s="1">
        <v>42667</v>
      </c>
    </row>
    <row r="1683">
      <c r="A1683" t="str">
        <v>Qualité</v>
      </c>
      <c r="B1683" t="str">
        <v>Certification Lean Six Sigma - Black Belt</v>
      </c>
      <c r="C1683" t="str">
        <v>International Association Six Sigma Certification</v>
      </c>
      <c r="D1683" t="str">
        <f>HYPERLINK("https://inventaire.cncp.gouv.fr/fiches/736/","736")</f>
        <v>736</v>
      </c>
      <c r="E1683" t="str">
        <f>HYPERLINK("http://www.intercariforef.org/formations/certification-84975.html","84975")</f>
        <v>84975</v>
      </c>
      <c r="F1683" s="1">
        <v>42178</v>
      </c>
      <c r="G1683" s="1">
        <v>42718</v>
      </c>
    </row>
    <row r="1684">
      <c r="A1684" t="str">
        <v>Qualité</v>
      </c>
      <c r="B1684" t="str">
        <v>Certification Lean Six Sigma - Green Belt</v>
      </c>
      <c r="C1684" t="str">
        <v>International Association Six Sigma Certification</v>
      </c>
      <c r="D1684" t="str">
        <f>HYPERLINK("https://inventaire.cncp.gouv.fr/fiches/735/","735")</f>
        <v>735</v>
      </c>
      <c r="E1684" t="str">
        <f>HYPERLINK("http://www.intercariforef.org/formations/certification-84976.html","84976")</f>
        <v>84976</v>
      </c>
      <c r="F1684" s="1">
        <v>42178</v>
      </c>
      <c r="G1684" s="1">
        <v>42718</v>
      </c>
    </row>
    <row r="1685">
      <c r="A1685" t="str">
        <v>Qualité</v>
      </c>
      <c r="B1685" t="str">
        <v>Certification Lean Six Sigma - Yellow Belt</v>
      </c>
      <c r="C1685" t="str">
        <v>International Association Six Sigma Certification</v>
      </c>
      <c r="D1685" t="str">
        <f>HYPERLINK("https://inventaire.cncp.gouv.fr/fiches/734/","734")</f>
        <v>734</v>
      </c>
      <c r="E1685" t="str">
        <f>HYPERLINK("http://www.intercariforef.org/formations/certification-84977.html","84977")</f>
        <v>84977</v>
      </c>
      <c r="F1685" s="1">
        <v>42178</v>
      </c>
      <c r="G1685" s="1">
        <v>42718</v>
      </c>
    </row>
    <row r="1686">
      <c r="A1686" t="str">
        <v>Qualité</v>
      </c>
      <c r="B1686" t="str">
        <v>Certification Lean Six Sigma Black Belt</v>
      </c>
      <c r="C1686" t="str">
        <v>AFNOR</v>
      </c>
      <c r="D1686" t="str">
        <f>HYPERLINK("https://inventaire.cncp.gouv.fr/fiches/3034/","3034")</f>
        <v>3034</v>
      </c>
      <c r="E1686" t="str">
        <f>HYPERLINK("http://www.intercariforef.org/formations/certification-100065.html","100065")</f>
        <v>100065</v>
      </c>
      <c r="F1686" s="1">
        <v>43152</v>
      </c>
      <c r="G1686" s="1">
        <v>43152</v>
      </c>
    </row>
    <row r="1687">
      <c r="A1687" t="str">
        <v>Qualité</v>
      </c>
      <c r="B1687" t="str">
        <v>Certification Lean Six Sigma Green Belt</v>
      </c>
      <c r="C1687" t="str">
        <v>AFNOR</v>
      </c>
      <c r="D1687" t="str">
        <f>HYPERLINK("https://inventaire.cncp.gouv.fr/fiches/3039/","3039")</f>
        <v>3039</v>
      </c>
      <c r="E1687" t="str">
        <f>HYPERLINK("http://www.intercariforef.org/formations/certification-100061.html","100061")</f>
        <v>100061</v>
      </c>
      <c r="F1687" s="1">
        <v>43152</v>
      </c>
      <c r="G1687" s="1">
        <v>43152</v>
      </c>
    </row>
    <row r="1688">
      <c r="A1688" t="str">
        <v>Qualité</v>
      </c>
      <c r="B1688" t="str">
        <v>Certification Six Sigma Black Belt</v>
      </c>
      <c r="C1688" t="str">
        <v>AFNOR</v>
      </c>
      <c r="D1688" t="str">
        <f>HYPERLINK("https://inventaire.cncp.gouv.fr/fiches/3031/","3031")</f>
        <v>3031</v>
      </c>
      <c r="E1688" t="str">
        <f>HYPERLINK("http://www.intercariforef.org/formations/certification-100067.html","100067")</f>
        <v>100067</v>
      </c>
      <c r="F1688" s="1">
        <v>43152</v>
      </c>
      <c r="G1688" s="1">
        <v>43152</v>
      </c>
    </row>
    <row r="1689">
      <c r="A1689" t="str">
        <v>Qualité</v>
      </c>
      <c r="B1689" t="str">
        <v>Certification Six Sigma Green Belt</v>
      </c>
      <c r="C1689" t="str">
        <v>AFNOR</v>
      </c>
      <c r="D1689" t="str">
        <f>HYPERLINK("https://inventaire.cncp.gouv.fr/fiches/3035/","3035")</f>
        <v>3035</v>
      </c>
      <c r="E1689" t="str">
        <f>HYPERLINK("http://www.intercariforef.org/formations/certification-100063.html","100063")</f>
        <v>100063</v>
      </c>
      <c r="F1689" s="1">
        <v>43152</v>
      </c>
      <c r="G1689" s="1">
        <v>43152</v>
      </c>
    </row>
    <row r="1690">
      <c r="A1690" t="str">
        <v>Qualité</v>
      </c>
      <c r="B1690" t="str">
        <v>COFREND Courants de Foucault (ET) niveau 1 - secteur Aéronautique (COSAC)</v>
      </c>
      <c r="C1690" t="str">
        <v>COFREND</v>
      </c>
      <c r="D1690" t="str">
        <f>HYPERLINK("https://inventaire.cncp.gouv.fr/fiches/478/","478")</f>
        <v>478</v>
      </c>
      <c r="E1690" t="str">
        <f>HYPERLINK("http://www.intercariforef.org/formations/certification-84855.html","84855")</f>
        <v>84855</v>
      </c>
      <c r="F1690" s="1">
        <v>42177</v>
      </c>
      <c r="G1690" s="1">
        <v>42177</v>
      </c>
    </row>
    <row r="1691">
      <c r="A1691" t="str">
        <v>Qualité</v>
      </c>
      <c r="B1691" t="str">
        <v>COFREND Courants de Foucault (ET) niveau 1 - Secteur Fabrication et Maintenance (CIFM)</v>
      </c>
      <c r="C1691" t="str">
        <v>COFREND</v>
      </c>
      <c r="D1691" t="str">
        <f>HYPERLINK("https://inventaire.cncp.gouv.fr/fiches/433/","433")</f>
        <v>433</v>
      </c>
      <c r="E1691" t="str">
        <f>HYPERLINK("http://www.intercariforef.org/formations/certification-84859.html","84859")</f>
        <v>84859</v>
      </c>
      <c r="F1691" s="1">
        <v>42177</v>
      </c>
      <c r="G1691" s="1">
        <v>42177</v>
      </c>
    </row>
    <row r="1692">
      <c r="A1692" t="str">
        <v>Qualité</v>
      </c>
      <c r="B1692" t="str">
        <v>COFREND Courants de Foucault (ET) niveau 1 - secteur Produits Métalliques (CCPM)</v>
      </c>
      <c r="C1692" t="str">
        <v>COFREND</v>
      </c>
      <c r="D1692" t="str">
        <f>HYPERLINK("https://inventaire.cncp.gouv.fr/fiches/388/","388")</f>
        <v>388</v>
      </c>
      <c r="E1692" t="str">
        <f>HYPERLINK("http://www.intercariforef.org/formations/certification-84860.html","84860")</f>
        <v>84860</v>
      </c>
      <c r="F1692" s="1">
        <v>42177</v>
      </c>
      <c r="G1692" s="1">
        <v>42177</v>
      </c>
    </row>
    <row r="1693">
      <c r="A1693" t="str">
        <v>Qualité</v>
      </c>
      <c r="B1693" t="str">
        <v>COFREND Courants de Foucault (ET) niveau 2 - secteur Aéronautique (COSAC)</v>
      </c>
      <c r="C1693" t="str">
        <v>COFREND</v>
      </c>
      <c r="D1693" t="str">
        <f>HYPERLINK("https://inventaire.cncp.gouv.fr/fiches/479/","479")</f>
        <v>479</v>
      </c>
      <c r="E1693" t="str">
        <f>HYPERLINK("http://www.intercariforef.org/formations/certification-84861.html","84861")</f>
        <v>84861</v>
      </c>
      <c r="F1693" s="1">
        <v>42177</v>
      </c>
      <c r="G1693" s="1">
        <v>42177</v>
      </c>
    </row>
    <row r="1694">
      <c r="A1694" t="str">
        <v>Qualité</v>
      </c>
      <c r="B1694" t="str">
        <v>COFREND Courants de Foucault (ET) niveau 2 - Secteur Fabrication et Maintenance (CIFM)</v>
      </c>
      <c r="C1694" t="str">
        <v>COFREND</v>
      </c>
      <c r="D1694" t="str">
        <f>HYPERLINK("https://inventaire.cncp.gouv.fr/fiches/434/","434")</f>
        <v>434</v>
      </c>
      <c r="E1694" t="str">
        <f>HYPERLINK("http://www.intercariforef.org/formations/certification-84863.html","84863")</f>
        <v>84863</v>
      </c>
      <c r="F1694" s="1">
        <v>42177</v>
      </c>
      <c r="G1694" s="1">
        <v>42177</v>
      </c>
    </row>
    <row r="1695">
      <c r="A1695" t="str">
        <v>Qualité</v>
      </c>
      <c r="B1695" t="str">
        <v>COFREND Courants de Foucault (ET) niveau 2 - secteur Produits Métalliques (CCPM)</v>
      </c>
      <c r="C1695" t="str">
        <v>COFREND</v>
      </c>
      <c r="D1695" t="str">
        <f>HYPERLINK("https://inventaire.cncp.gouv.fr/fiches/389/","389")</f>
        <v>389</v>
      </c>
      <c r="E1695" t="str">
        <f>HYPERLINK("http://www.intercariforef.org/formations/certification-84865.html","84865")</f>
        <v>84865</v>
      </c>
      <c r="F1695" s="1">
        <v>42177</v>
      </c>
      <c r="G1695" s="1">
        <v>42177</v>
      </c>
    </row>
    <row r="1696">
      <c r="A1696" t="str">
        <v>Qualité</v>
      </c>
      <c r="B1696" t="str">
        <v>COFREND Courants de Foucault (ET) niveau 3 - secteur Aéronautique (COSAC)</v>
      </c>
      <c r="C1696" t="str">
        <v>COFREND</v>
      </c>
      <c r="D1696" t="str">
        <f>HYPERLINK("https://inventaire.cncp.gouv.fr/fiches/480/","480")</f>
        <v>480</v>
      </c>
      <c r="E1696" t="str">
        <f>HYPERLINK("http://www.intercariforef.org/formations/certification-84870.html","84870")</f>
        <v>84870</v>
      </c>
      <c r="F1696" s="1">
        <v>42177</v>
      </c>
      <c r="G1696" s="1">
        <v>42177</v>
      </c>
    </row>
    <row r="1697">
      <c r="A1697" t="str">
        <v>Qualité</v>
      </c>
      <c r="B1697" t="str">
        <v>COFREND Courants de Foucault (ET) niveau 3 - Secteur Fabrication et Maintenance (CIFM)</v>
      </c>
      <c r="C1697" t="str">
        <v>COFREND</v>
      </c>
      <c r="D1697" t="str">
        <f>HYPERLINK("https://inventaire.cncp.gouv.fr/fiches/435/","435")</f>
        <v>435</v>
      </c>
      <c r="E1697" t="str">
        <f>HYPERLINK("http://www.intercariforef.org/formations/certification-84871.html","84871")</f>
        <v>84871</v>
      </c>
      <c r="F1697" s="1">
        <v>42177</v>
      </c>
      <c r="G1697" s="1">
        <v>42177</v>
      </c>
    </row>
    <row r="1698">
      <c r="A1698" t="str">
        <v>Qualité</v>
      </c>
      <c r="B1698" t="str">
        <v>COFREND Courants de Foucault (ET) niveau 3 - secteur Produits Métalliques (CCPM)</v>
      </c>
      <c r="C1698" t="str">
        <v>COFREND</v>
      </c>
      <c r="D1698" t="str">
        <f>HYPERLINK("https://inventaire.cncp.gouv.fr/fiches/390/","390")</f>
        <v>390</v>
      </c>
      <c r="E1698" t="str">
        <f>HYPERLINK("http://www.intercariforef.org/formations/certification-84873.html","84873")</f>
        <v>84873</v>
      </c>
      <c r="F1698" s="1">
        <v>42177</v>
      </c>
      <c r="G1698" s="1">
        <v>42177</v>
      </c>
    </row>
    <row r="1699">
      <c r="A1699" t="str">
        <v>Qualité</v>
      </c>
      <c r="B1699" t="str">
        <v>COFREND Emission Acoustique (AT) niveau 2 - secteur Fabrication et Maintenance (CIFM)</v>
      </c>
      <c r="C1699" t="str">
        <v>COFREND</v>
      </c>
      <c r="D1699" t="str">
        <f>HYPERLINK("https://inventaire.cncp.gouv.fr/fiches/511/","511")</f>
        <v>511</v>
      </c>
      <c r="E1699" t="str">
        <f>HYPERLINK("http://www.intercariforef.org/formations/certification-84874.html","84874")</f>
        <v>84874</v>
      </c>
      <c r="F1699" s="1">
        <v>42177</v>
      </c>
      <c r="G1699" s="1">
        <v>42177</v>
      </c>
    </row>
    <row r="1700">
      <c r="A1700" t="str">
        <v>Qualité</v>
      </c>
      <c r="B1700" t="str">
        <v>COFREND Emission Acoustique (AT) niveau 3 - secteur Fabrication et Maintenance (CIFM)</v>
      </c>
      <c r="C1700" t="str">
        <v>COFREND</v>
      </c>
      <c r="D1700" t="str">
        <f>HYPERLINK("https://inventaire.cncp.gouv.fr/fiches/430/","430")</f>
        <v>430</v>
      </c>
      <c r="E1700" t="str">
        <f>HYPERLINK("http://www.intercariforef.org/formations/certification-84878.html","84878")</f>
        <v>84878</v>
      </c>
      <c r="F1700" s="1">
        <v>42177</v>
      </c>
      <c r="G1700" s="1">
        <v>42177</v>
      </c>
    </row>
    <row r="1701">
      <c r="A1701" t="str">
        <v>Qualité</v>
      </c>
      <c r="B1701" t="str">
        <v>COFREND Etanchéité (LT) niveau 1 - secteur Fabrication et Maintenance (CIFM)</v>
      </c>
      <c r="C1701" t="str">
        <v>COFREND</v>
      </c>
      <c r="D1701" t="str">
        <f>HYPERLINK("https://inventaire.cncp.gouv.fr/fiches/513/","513")</f>
        <v>513</v>
      </c>
      <c r="E1701" t="str">
        <f>HYPERLINK("http://www.intercariforef.org/formations/certification-84879.html","84879")</f>
        <v>84879</v>
      </c>
      <c r="F1701" s="1">
        <v>42177</v>
      </c>
      <c r="G1701" s="1">
        <v>42177</v>
      </c>
    </row>
    <row r="1702">
      <c r="A1702" t="str">
        <v>Qualité</v>
      </c>
      <c r="B1702" t="str">
        <v>COFREND Etanchéité (LT) niveau 2 - secteur Fabrication et Maintenance (CIFM)</v>
      </c>
      <c r="C1702" t="str">
        <v>COFREND</v>
      </c>
      <c r="D1702" t="str">
        <f>HYPERLINK("https://inventaire.cncp.gouv.fr/fiches/514/","514")</f>
        <v>514</v>
      </c>
      <c r="E1702" t="str">
        <f>HYPERLINK("http://www.intercariforef.org/formations/certification-84884.html","84884")</f>
        <v>84884</v>
      </c>
      <c r="F1702" s="1">
        <v>42177</v>
      </c>
      <c r="G1702" s="1">
        <v>42177</v>
      </c>
    </row>
    <row r="1703">
      <c r="A1703" t="str">
        <v>Qualité</v>
      </c>
      <c r="B1703" t="str">
        <v>COFREND Etanchéité (LT) niveau 3 - secteur Fabrication et Maintenance (CIFM)</v>
      </c>
      <c r="C1703" t="str">
        <v>COFREND</v>
      </c>
      <c r="D1703" t="str">
        <f>HYPERLINK("https://inventaire.cncp.gouv.fr/fiches/443/","443")</f>
        <v>443</v>
      </c>
      <c r="E1703" t="str">
        <f>HYPERLINK("http://www.intercariforef.org/formations/certification-84886.html","84886")</f>
        <v>84886</v>
      </c>
      <c r="F1703" s="1">
        <v>42177</v>
      </c>
      <c r="G1703" s="1">
        <v>42177</v>
      </c>
    </row>
    <row r="1704">
      <c r="A1704" t="str">
        <v>Qualité</v>
      </c>
      <c r="B1704" t="str">
        <v>COFREND Interférométrie (ST) niveau 1 - secteur Aéronautique (COSAC)</v>
      </c>
      <c r="C1704" t="str">
        <v>COFREND</v>
      </c>
      <c r="D1704" t="str">
        <f>HYPERLINK("https://inventaire.cncp.gouv.fr/fiches/508/","508")</f>
        <v>508</v>
      </c>
      <c r="E1704" t="str">
        <f>HYPERLINK("http://www.intercariforef.org/formations/certification-84887.html","84887")</f>
        <v>84887</v>
      </c>
      <c r="F1704" s="1">
        <v>42177</v>
      </c>
      <c r="G1704" s="1">
        <v>42177</v>
      </c>
    </row>
    <row r="1705">
      <c r="A1705" t="str">
        <v>Qualité</v>
      </c>
      <c r="B1705" t="str">
        <v>COFREND Interférométrie (ST) niveau 2 - secteur Aéronautique (COSAC)</v>
      </c>
      <c r="C1705" t="str">
        <v>COFREND</v>
      </c>
      <c r="D1705" t="str">
        <f>HYPERLINK("https://inventaire.cncp.gouv.fr/fiches/509/","509")</f>
        <v>509</v>
      </c>
      <c r="E1705" t="str">
        <f>HYPERLINK("http://www.intercariforef.org/formations/certification-84888.html","84888")</f>
        <v>84888</v>
      </c>
      <c r="F1705" s="1">
        <v>42177</v>
      </c>
      <c r="G1705" s="1">
        <v>42177</v>
      </c>
    </row>
    <row r="1706">
      <c r="A1706" t="str">
        <v>Qualité</v>
      </c>
      <c r="B1706" t="str">
        <v>COFREND Interférométrie (ST) niveau 3 - secteur Aéronautique (COSAC)</v>
      </c>
      <c r="C1706" t="str">
        <v>COFREND</v>
      </c>
      <c r="D1706" t="str">
        <f>HYPERLINK("https://inventaire.cncp.gouv.fr/fiches/510/","510")</f>
        <v>510</v>
      </c>
      <c r="E1706" t="str">
        <f>HYPERLINK("http://www.intercariforef.org/formations/certification-84889.html","84889")</f>
        <v>84889</v>
      </c>
      <c r="F1706" s="1">
        <v>42177</v>
      </c>
      <c r="G1706" s="1">
        <v>42177</v>
      </c>
    </row>
    <row r="1707">
      <c r="A1707" t="str">
        <v>Qualité</v>
      </c>
      <c r="B1707" t="str">
        <v>COFREND Magnétoscopie (MT) niveau 1 - secteur Fabrication et Maintenance (CIFM)</v>
      </c>
      <c r="C1707" t="str">
        <v>COFREND</v>
      </c>
      <c r="D1707" t="str">
        <f>HYPERLINK("https://inventaire.cncp.gouv.fr/fiches/445/","445")</f>
        <v>445</v>
      </c>
      <c r="E1707" t="str">
        <f>HYPERLINK("http://www.intercariforef.org/formations/certification-84891.html","84891")</f>
        <v>84891</v>
      </c>
      <c r="F1707" s="1">
        <v>42177</v>
      </c>
      <c r="G1707" s="1">
        <v>42177</v>
      </c>
    </row>
    <row r="1708">
      <c r="A1708" t="str">
        <v>Qualité</v>
      </c>
      <c r="B1708" t="str">
        <v>COFREND Magnétoscopie (MT) niveau 1 - Secteur Ferroviaire (CFCM)</v>
      </c>
      <c r="C1708" t="str">
        <v>COFREND</v>
      </c>
      <c r="D1708" t="str">
        <f>HYPERLINK("https://inventaire.cncp.gouv.fr/fiches/417/","417")</f>
        <v>417</v>
      </c>
      <c r="E1708" t="str">
        <f>HYPERLINK("http://www.intercariforef.org/formations/certification-84895.html","84895")</f>
        <v>84895</v>
      </c>
      <c r="F1708" s="1">
        <v>42177</v>
      </c>
      <c r="G1708" s="1">
        <v>42177</v>
      </c>
    </row>
    <row r="1709">
      <c r="A1709" t="str">
        <v>Qualité</v>
      </c>
      <c r="B1709" t="str">
        <v>COFREND Magnétoscopie (MT) niveau 1 - secteur Produits Métalliques (CCPM)</v>
      </c>
      <c r="C1709" t="str">
        <v>COFREND</v>
      </c>
      <c r="D1709" t="str">
        <f>HYPERLINK("https://inventaire.cncp.gouv.fr/fiches/391/","391")</f>
        <v>391</v>
      </c>
      <c r="E1709" t="str">
        <f>HYPERLINK("http://www.intercariforef.org/formations/certification-84896.html","84896")</f>
        <v>84896</v>
      </c>
      <c r="F1709" s="1">
        <v>42177</v>
      </c>
      <c r="G1709" s="1">
        <v>42177</v>
      </c>
    </row>
    <row r="1710">
      <c r="A1710" t="str">
        <v>Qualité</v>
      </c>
      <c r="B1710" t="str">
        <v>COFREND Magnétoscopie (MT) niveau 2 - secteur Aéronautique (COSAC)</v>
      </c>
      <c r="C1710" t="str">
        <v>COFREND</v>
      </c>
      <c r="D1710" t="str">
        <f>HYPERLINK("https://inventaire.cncp.gouv.fr/fiches/476/","476")</f>
        <v>476</v>
      </c>
      <c r="E1710" t="str">
        <f>HYPERLINK("http://www.intercariforef.org/formations/certification-84897.html","84897")</f>
        <v>84897</v>
      </c>
      <c r="F1710" s="1">
        <v>42177</v>
      </c>
      <c r="G1710" s="1">
        <v>42177</v>
      </c>
    </row>
    <row r="1711">
      <c r="A1711" t="str">
        <v>Qualité</v>
      </c>
      <c r="B1711" t="str">
        <v>COFREND Magnétoscopie (MT) niveau 2 - secteur Fabrication et Maintenance (CIFM)</v>
      </c>
      <c r="C1711" t="str">
        <v>COFREND</v>
      </c>
      <c r="D1711" t="str">
        <f>HYPERLINK("https://inventaire.cncp.gouv.fr/fiches/473/","473")</f>
        <v>473</v>
      </c>
      <c r="E1711" t="str">
        <f>HYPERLINK("http://www.intercariforef.org/formations/certification-84605.html","84605")</f>
        <v>84605</v>
      </c>
      <c r="F1711" s="1">
        <v>42142</v>
      </c>
      <c r="G1711" s="1">
        <v>42979</v>
      </c>
    </row>
    <row r="1712">
      <c r="A1712" t="str">
        <v>Qualité</v>
      </c>
      <c r="B1712" t="str">
        <v>COFREND Magnétoscopie (MT) niveau 2 - Secteur Ferroviaire (CFCM)</v>
      </c>
      <c r="C1712" t="str">
        <v>COFREND</v>
      </c>
      <c r="D1712" t="str">
        <f>HYPERLINK("https://inventaire.cncp.gouv.fr/fiches/419/","419")</f>
        <v>419</v>
      </c>
      <c r="E1712" t="str">
        <f>HYPERLINK("http://www.intercariforef.org/formations/certification-84898.html","84898")</f>
        <v>84898</v>
      </c>
      <c r="F1712" s="1">
        <v>42177</v>
      </c>
      <c r="G1712" s="1">
        <v>42177</v>
      </c>
    </row>
    <row r="1713">
      <c r="A1713" t="str">
        <v>Qualité</v>
      </c>
      <c r="B1713" t="str">
        <v>COFREND Magnétoscopie (MT) niveau 2 - secteur Produits Métalliques (CCPM)</v>
      </c>
      <c r="C1713" t="str">
        <v>COFREND</v>
      </c>
      <c r="D1713" t="str">
        <f>HYPERLINK("https://inventaire.cncp.gouv.fr/fiches/392/","392")</f>
        <v>392</v>
      </c>
      <c r="E1713" t="str">
        <f>HYPERLINK("http://www.intercariforef.org/formations/certification-84905.html","84905")</f>
        <v>84905</v>
      </c>
      <c r="F1713" s="1">
        <v>42178</v>
      </c>
      <c r="G1713" s="1">
        <v>42178</v>
      </c>
    </row>
    <row r="1714">
      <c r="A1714" t="str">
        <v>Qualité</v>
      </c>
      <c r="B1714" t="str">
        <v>COFREND Magnétoscopie (MT) niveau 3 - secteur Aéronautique (COSAC)</v>
      </c>
      <c r="C1714" t="str">
        <v>COFREND</v>
      </c>
      <c r="D1714" t="str">
        <f>HYPERLINK("https://inventaire.cncp.gouv.fr/fiches/477/","477")</f>
        <v>477</v>
      </c>
      <c r="E1714" t="str">
        <f>HYPERLINK("http://www.intercariforef.org/formations/certification-84906.html","84906")</f>
        <v>84906</v>
      </c>
      <c r="F1714" s="1">
        <v>42178</v>
      </c>
      <c r="G1714" s="1">
        <v>42178</v>
      </c>
    </row>
    <row r="1715">
      <c r="A1715" t="str">
        <v>Qualité</v>
      </c>
      <c r="B1715" t="str">
        <v>COFREND Magnétoscopie (MT) niveau 3 - secteur Fabrication et Maintenance (CIFM)</v>
      </c>
      <c r="C1715" t="str">
        <v>COFREND</v>
      </c>
      <c r="D1715" t="str">
        <f>HYPERLINK("https://inventaire.cncp.gouv.fr/fiches/447/","447")</f>
        <v>447</v>
      </c>
      <c r="E1715" t="str">
        <f>HYPERLINK("http://www.intercariforef.org/formations/certification-84908.html","84908")</f>
        <v>84908</v>
      </c>
      <c r="F1715" s="1">
        <v>42178</v>
      </c>
      <c r="G1715" s="1">
        <v>42178</v>
      </c>
    </row>
    <row r="1716">
      <c r="A1716" t="str">
        <v>Qualité</v>
      </c>
      <c r="B1716" t="str">
        <v>COFREND Magnétoscopie (MT) niveau 3 - Secteur Ferroviaire (CFCM)</v>
      </c>
      <c r="C1716" t="str">
        <v>COFREND</v>
      </c>
      <c r="D1716" t="str">
        <f>HYPERLINK("https://inventaire.cncp.gouv.fr/fiches/420/","420")</f>
        <v>420</v>
      </c>
      <c r="E1716" t="str">
        <f>HYPERLINK("http://www.intercariforef.org/formations/certification-84909.html","84909")</f>
        <v>84909</v>
      </c>
      <c r="F1716" s="1">
        <v>42178</v>
      </c>
      <c r="G1716" s="1">
        <v>42178</v>
      </c>
    </row>
    <row r="1717">
      <c r="A1717" t="str">
        <v>Qualité</v>
      </c>
      <c r="B1717" t="str">
        <v>COFREND Magnétoscopie (MT) niveau 3 - secteur Produits Métalliques (CCPM)</v>
      </c>
      <c r="C1717" t="str">
        <v>COFREND</v>
      </c>
      <c r="D1717" t="str">
        <f>HYPERLINK("https://inventaire.cncp.gouv.fr/fiches/393/","393")</f>
        <v>393</v>
      </c>
      <c r="E1717" t="str">
        <f>HYPERLINK("http://www.intercariforef.org/formations/certification-84910.html","84910")</f>
        <v>84910</v>
      </c>
      <c r="F1717" s="1">
        <v>42178</v>
      </c>
      <c r="G1717" s="1">
        <v>42178</v>
      </c>
    </row>
    <row r="1718">
      <c r="A1718" t="str">
        <v>Qualité</v>
      </c>
      <c r="B1718" t="str">
        <v>COFREND Magnétoscopie (ST) niveau 1 - secteur Aéronautique (COSAC)</v>
      </c>
      <c r="C1718" t="str">
        <v>COFREND</v>
      </c>
      <c r="D1718" t="str">
        <f>HYPERLINK("https://inventaire.cncp.gouv.fr/fiches/475/","475")</f>
        <v>475</v>
      </c>
      <c r="E1718" t="str">
        <f>HYPERLINK("http://www.intercariforef.org/formations/certification-84890.html","84890")</f>
        <v>84890</v>
      </c>
      <c r="F1718" s="1">
        <v>42177</v>
      </c>
      <c r="G1718" s="1">
        <v>42178</v>
      </c>
    </row>
    <row r="1719">
      <c r="A1719" t="str">
        <v>Qualité</v>
      </c>
      <c r="B1719" t="str">
        <v>COFREND Radiographie (RT) niveau 1 - secteur Aéronautique (COSAC)</v>
      </c>
      <c r="C1719" t="str">
        <v>COFREND</v>
      </c>
      <c r="D1719" t="str">
        <f>HYPERLINK("https://inventaire.cncp.gouv.fr/fiches/488/","488")</f>
        <v>488</v>
      </c>
      <c r="E1719" t="str">
        <f>HYPERLINK("http://www.intercariforef.org/formations/certification-84911.html","84911")</f>
        <v>84911</v>
      </c>
      <c r="F1719" s="1">
        <v>42178</v>
      </c>
      <c r="G1719" s="1">
        <v>42178</v>
      </c>
    </row>
    <row r="1720">
      <c r="A1720" t="str">
        <v>Qualité</v>
      </c>
      <c r="B1720" t="str">
        <v>COFREND Radiographie (RT) niveau 1 - secteur Fabrication et Maintenance (CIFM)</v>
      </c>
      <c r="C1720" t="str">
        <v>COFREND</v>
      </c>
      <c r="D1720" t="str">
        <f>HYPERLINK("https://inventaire.cncp.gouv.fr/fiches/452/","452")</f>
        <v>452</v>
      </c>
      <c r="E1720" t="str">
        <f>HYPERLINK("http://www.intercariforef.org/formations/certification-84912.html","84912")</f>
        <v>84912</v>
      </c>
      <c r="F1720" s="1">
        <v>42178</v>
      </c>
      <c r="G1720" s="1">
        <v>42178</v>
      </c>
    </row>
    <row r="1721">
      <c r="A1721" t="str">
        <v>Qualité</v>
      </c>
      <c r="B1721" t="str">
        <v>COFREND Radiographie (RT) niveau 1 - Secteur Ferroviaire (CFCM)</v>
      </c>
      <c r="C1721" t="str">
        <v>COFREND</v>
      </c>
      <c r="D1721" t="str">
        <f>HYPERLINK("https://inventaire.cncp.gouv.fr/fiches/426/","426")</f>
        <v>426</v>
      </c>
      <c r="E1721" t="str">
        <f>HYPERLINK("http://www.intercariforef.org/formations/certification-84913.html","84913")</f>
        <v>84913</v>
      </c>
      <c r="F1721" s="1">
        <v>42178</v>
      </c>
      <c r="G1721" s="1">
        <v>42178</v>
      </c>
    </row>
    <row r="1722">
      <c r="A1722" t="str">
        <v>Qualité</v>
      </c>
      <c r="B1722" t="str">
        <v>COFREND Radiographie (RT) niveau 1 - secteur Produits Métalliques (CCPM)</v>
      </c>
      <c r="C1722" t="str">
        <v>COFREND</v>
      </c>
      <c r="D1722" t="str">
        <f>HYPERLINK("https://inventaire.cncp.gouv.fr/fiches/412/","412")</f>
        <v>412</v>
      </c>
      <c r="E1722" t="str">
        <f>HYPERLINK("http://www.intercariforef.org/formations/certification-84914.html","84914")</f>
        <v>84914</v>
      </c>
      <c r="F1722" s="1">
        <v>42178</v>
      </c>
      <c r="G1722" s="1">
        <v>42178</v>
      </c>
    </row>
    <row r="1723">
      <c r="A1723" t="str">
        <v>Qualité</v>
      </c>
      <c r="B1723" t="str">
        <v>COFREND Radiographie (RT) niveau 2 - secteur Aéronautique (COSAC)</v>
      </c>
      <c r="C1723" t="str">
        <v>COFREND</v>
      </c>
      <c r="D1723" t="str">
        <f>HYPERLINK("https://inventaire.cncp.gouv.fr/fiches/491/","491")</f>
        <v>491</v>
      </c>
      <c r="E1723" t="str">
        <f>HYPERLINK("http://www.intercariforef.org/formations/certification-84915.html","84915")</f>
        <v>84915</v>
      </c>
      <c r="F1723" s="1">
        <v>42178</v>
      </c>
      <c r="G1723" s="1">
        <v>42178</v>
      </c>
    </row>
    <row r="1724">
      <c r="A1724" t="str">
        <v>Qualité</v>
      </c>
      <c r="B1724" t="str">
        <v>COFREND Radiographie (RT) niveau 2 - secteur Fabrication et Maintenance (CIFM)</v>
      </c>
      <c r="C1724" t="str">
        <v>COFREND</v>
      </c>
      <c r="D1724" t="str">
        <f>HYPERLINK("https://inventaire.cncp.gouv.fr/fiches/453/","453")</f>
        <v>453</v>
      </c>
      <c r="E1724" t="str">
        <f>HYPERLINK("http://www.intercariforef.org/formations/certification-84916.html","84916")</f>
        <v>84916</v>
      </c>
      <c r="F1724" s="1">
        <v>42178</v>
      </c>
      <c r="G1724" s="1">
        <v>42178</v>
      </c>
    </row>
    <row r="1725">
      <c r="A1725" t="str">
        <v>Qualité</v>
      </c>
      <c r="B1725" t="str">
        <v>COFREND Radiographie (RT) niveau 2 - Secteur Ferroviaire (CFCM)</v>
      </c>
      <c r="C1725" t="str">
        <v>COFREND</v>
      </c>
      <c r="D1725" t="str">
        <f>HYPERLINK("https://inventaire.cncp.gouv.fr/fiches/427/","427")</f>
        <v>427</v>
      </c>
      <c r="E1725" t="str">
        <f>HYPERLINK("http://www.intercariforef.org/formations/certification-84917.html","84917")</f>
        <v>84917</v>
      </c>
      <c r="F1725" s="1">
        <v>42178</v>
      </c>
      <c r="G1725" s="1">
        <v>42178</v>
      </c>
    </row>
    <row r="1726">
      <c r="A1726" t="str">
        <v>Qualité</v>
      </c>
      <c r="B1726" t="str">
        <v>COFREND Radiographie (RT) niveau 2 - secteur Produits Métalliques (CCPM)</v>
      </c>
      <c r="C1726" t="str">
        <v>COFREND</v>
      </c>
      <c r="D1726" t="str">
        <f>HYPERLINK("https://inventaire.cncp.gouv.fr/fiches/413/","413")</f>
        <v>413</v>
      </c>
      <c r="E1726" t="str">
        <f>HYPERLINK("http://www.intercariforef.org/formations/certification-84918.html","84918")</f>
        <v>84918</v>
      </c>
      <c r="F1726" s="1">
        <v>42178</v>
      </c>
      <c r="G1726" s="1">
        <v>42178</v>
      </c>
    </row>
    <row r="1727">
      <c r="A1727" t="str">
        <v>Qualité</v>
      </c>
      <c r="B1727" t="str">
        <v>COFREND Radiographie (RT) niveau 3 - secteur Aéronautique (COSAC)</v>
      </c>
      <c r="C1727" t="str">
        <v>COFREND</v>
      </c>
      <c r="D1727" t="str">
        <f>HYPERLINK("https://inventaire.cncp.gouv.fr/fiches/492/","492")</f>
        <v>492</v>
      </c>
      <c r="E1727" t="str">
        <f>HYPERLINK("http://www.intercariforef.org/formations/certification-84919.html","84919")</f>
        <v>84919</v>
      </c>
      <c r="F1727" s="1">
        <v>42178</v>
      </c>
      <c r="G1727" s="1">
        <v>42178</v>
      </c>
    </row>
    <row r="1728">
      <c r="A1728" t="str">
        <v>Qualité</v>
      </c>
      <c r="B1728" t="str">
        <v>COFREND Radiographie (RT) niveau 3 - secteur Fabrication et Maintenance (CIFM)</v>
      </c>
      <c r="C1728" t="str">
        <v>COFREND</v>
      </c>
      <c r="D1728" t="str">
        <f>HYPERLINK("https://inventaire.cncp.gouv.fr/fiches/454/","454")</f>
        <v>454</v>
      </c>
      <c r="E1728" t="str">
        <f>HYPERLINK("http://www.intercariforef.org/formations/certification-84920.html","84920")</f>
        <v>84920</v>
      </c>
      <c r="F1728" s="1">
        <v>42178</v>
      </c>
      <c r="G1728" s="1">
        <v>42178</v>
      </c>
    </row>
    <row r="1729">
      <c r="A1729" t="str">
        <v>Qualité</v>
      </c>
      <c r="B1729" t="str">
        <v>COFREND Radiographie (RT) niveau 3 - Secteur Ferroviaire (CFCM)</v>
      </c>
      <c r="C1729" t="str">
        <v>COFREND</v>
      </c>
      <c r="D1729" t="str">
        <f>HYPERLINK("https://inventaire.cncp.gouv.fr/fiches/428/","428")</f>
        <v>428</v>
      </c>
      <c r="E1729" t="str">
        <f>HYPERLINK("http://www.intercariforef.org/formations/certification-84921.html","84921")</f>
        <v>84921</v>
      </c>
      <c r="F1729" s="1">
        <v>42178</v>
      </c>
      <c r="G1729" s="1">
        <v>42178</v>
      </c>
    </row>
    <row r="1730">
      <c r="A1730" t="str">
        <v>Qualité</v>
      </c>
      <c r="B1730" t="str">
        <v>COFREND Radiographie (RT) niveau 3 - secteur Produits Métalliques (CCPM)</v>
      </c>
      <c r="C1730" t="str">
        <v>COFREND</v>
      </c>
      <c r="D1730" t="str">
        <f>HYPERLINK("https://inventaire.cncp.gouv.fr/fiches/414/","414")</f>
        <v>414</v>
      </c>
      <c r="E1730" t="str">
        <f>HYPERLINK("http://www.intercariforef.org/formations/certification-84922.html","84922")</f>
        <v>84922</v>
      </c>
      <c r="F1730" s="1">
        <v>42178</v>
      </c>
      <c r="G1730" s="1">
        <v>42178</v>
      </c>
    </row>
    <row r="1731">
      <c r="A1731" t="str">
        <v>Qualité</v>
      </c>
      <c r="B1731" t="str">
        <v>COFREND Ressuage (PT) niveau 1 - secteur Aéronautique (COSAC)</v>
      </c>
      <c r="C1731" t="str">
        <v>COFREND</v>
      </c>
      <c r="D1731" t="str">
        <f>HYPERLINK("https://inventaire.cncp.gouv.fr/fiches/494/","494")</f>
        <v>494</v>
      </c>
      <c r="E1731" t="str">
        <f>HYPERLINK("http://www.intercariforef.org/formations/certification-84923.html","84923")</f>
        <v>84923</v>
      </c>
      <c r="F1731" s="1">
        <v>42178</v>
      </c>
      <c r="G1731" s="1">
        <v>42979</v>
      </c>
    </row>
    <row r="1732">
      <c r="A1732" t="str">
        <v>Qualité</v>
      </c>
      <c r="B1732" t="str">
        <v>COFREND Ressuage (PT) niveau 1 - secteur Fabrication et Maintenance (CIFM)</v>
      </c>
      <c r="C1732" t="str">
        <v>COFREND</v>
      </c>
      <c r="D1732" t="str">
        <f>HYPERLINK("https://inventaire.cncp.gouv.fr/fiches/448/","448")</f>
        <v>448</v>
      </c>
      <c r="E1732" t="str">
        <f>HYPERLINK("http://www.intercariforef.org/formations/certification-84924.html","84924")</f>
        <v>84924</v>
      </c>
      <c r="F1732" s="1">
        <v>42178</v>
      </c>
      <c r="G1732" s="1">
        <v>42979</v>
      </c>
    </row>
    <row r="1733">
      <c r="A1733" t="str">
        <v>Qualité</v>
      </c>
      <c r="B1733" t="str">
        <v>COFREND Ressuage (PT) niveau 1 - Secteur Ferroviaire (CFCM)</v>
      </c>
      <c r="C1733" t="str">
        <v>COFREND</v>
      </c>
      <c r="D1733" t="str">
        <f>HYPERLINK("https://inventaire.cncp.gouv.fr/fiches/421/","421")</f>
        <v>421</v>
      </c>
      <c r="E1733" t="str">
        <f>HYPERLINK("http://www.intercariforef.org/formations/certification-84925.html","84925")</f>
        <v>84925</v>
      </c>
      <c r="F1733" s="1">
        <v>42178</v>
      </c>
      <c r="G1733" s="1">
        <v>42979</v>
      </c>
    </row>
    <row r="1734">
      <c r="A1734" t="str">
        <v>Qualité</v>
      </c>
      <c r="B1734" t="str">
        <v>COFREND Ressuage (PT) niveau 1 - secteur Produits Métalliques (CCPM)</v>
      </c>
      <c r="C1734" t="str">
        <v>COFREND</v>
      </c>
      <c r="D1734" t="str">
        <f>HYPERLINK("https://inventaire.cncp.gouv.fr/fiches/394/","394")</f>
        <v>394</v>
      </c>
      <c r="E1734" t="str">
        <f>HYPERLINK("http://www.intercariforef.org/formations/certification-84926.html","84926")</f>
        <v>84926</v>
      </c>
      <c r="F1734" s="1">
        <v>42178</v>
      </c>
      <c r="G1734" s="1">
        <v>42979</v>
      </c>
    </row>
    <row r="1735">
      <c r="A1735" t="str">
        <v>Qualité</v>
      </c>
      <c r="B1735" t="str">
        <v>COFREND Ressuage (PT) niveau 2 - secteur Aéronautique (COSAC)</v>
      </c>
      <c r="C1735" t="str">
        <v>COFREND</v>
      </c>
      <c r="D1735" t="str">
        <f>HYPERLINK("https://inventaire.cncp.gouv.fr/fiches/495/","495")</f>
        <v>495</v>
      </c>
      <c r="E1735" t="str">
        <f>HYPERLINK("http://www.intercariforef.org/formations/certification-84927.html","84927")</f>
        <v>84927</v>
      </c>
      <c r="F1735" s="1">
        <v>42178</v>
      </c>
      <c r="G1735" s="1">
        <v>42979</v>
      </c>
    </row>
    <row r="1736">
      <c r="A1736" t="str">
        <v>Qualité</v>
      </c>
      <c r="B1736" t="str">
        <v>COFREND Ressuage (PT) niveau 2 - Secteur Ferroviaire (CFCM)</v>
      </c>
      <c r="C1736" t="str">
        <v>COFREND</v>
      </c>
      <c r="D1736" t="str">
        <f>HYPERLINK("https://inventaire.cncp.gouv.fr/fiches/423/","423")</f>
        <v>423</v>
      </c>
      <c r="E1736" t="str">
        <f>HYPERLINK("http://www.intercariforef.org/formations/certification-84928.html","84928")</f>
        <v>84928</v>
      </c>
      <c r="F1736" s="1">
        <v>42178</v>
      </c>
      <c r="G1736" s="1">
        <v>42979</v>
      </c>
    </row>
    <row r="1737">
      <c r="A1737" t="str">
        <v>Qualité</v>
      </c>
      <c r="B1737" t="str">
        <v>COFREND Ressuage (PT) niveau 2 - secteur Produits Métalliques (CCPM)</v>
      </c>
      <c r="C1737" t="str">
        <v>COFREND</v>
      </c>
      <c r="D1737" t="str">
        <f>HYPERLINK("https://inventaire.cncp.gouv.fr/fiches/396/","396")</f>
        <v>396</v>
      </c>
      <c r="E1737" t="str">
        <f>HYPERLINK("http://www.intercariforef.org/formations/certification-84929.html","84929")</f>
        <v>84929</v>
      </c>
      <c r="F1737" s="1">
        <v>42178</v>
      </c>
      <c r="G1737" s="1">
        <v>42979</v>
      </c>
    </row>
    <row r="1738">
      <c r="A1738" t="str">
        <v>Qualité</v>
      </c>
      <c r="B1738" t="str">
        <v>COFREND Ressuage (PT) niveau 3 - secteur Aéronautique (COSAC)</v>
      </c>
      <c r="C1738" t="str">
        <v>COFREND</v>
      </c>
      <c r="D1738" t="str">
        <f>HYPERLINK("https://inventaire.cncp.gouv.fr/fiches/501/","501")</f>
        <v>501</v>
      </c>
      <c r="E1738" t="str">
        <f>HYPERLINK("http://www.intercariforef.org/formations/certification-84930.html","84930")</f>
        <v>84930</v>
      </c>
      <c r="F1738" s="1">
        <v>42178</v>
      </c>
      <c r="G1738" s="1">
        <v>42979</v>
      </c>
    </row>
    <row r="1739">
      <c r="A1739" t="str">
        <v>Qualité</v>
      </c>
      <c r="B1739" t="str">
        <v>COFREND Ressuage (PT) niveau 3 - secteur Fabrication et Maintenance (CIFM)</v>
      </c>
      <c r="C1739" t="str">
        <v>COFREND</v>
      </c>
      <c r="D1739" t="str">
        <f>HYPERLINK("https://inventaire.cncp.gouv.fr/fiches/450/","450")</f>
        <v>450</v>
      </c>
      <c r="E1739" t="str">
        <f>HYPERLINK("http://www.intercariforef.org/formations/certification-84948.html","84948")</f>
        <v>84948</v>
      </c>
      <c r="F1739" s="1">
        <v>42178</v>
      </c>
      <c r="G1739" s="1">
        <v>42979</v>
      </c>
    </row>
    <row r="1740">
      <c r="A1740" t="str">
        <v>Qualité</v>
      </c>
      <c r="B1740" t="str">
        <v>COFREND Ressuage (PT) niveau 3 - Secteur Ferroviaire (CFCM)</v>
      </c>
      <c r="C1740" t="str">
        <v>COFREND</v>
      </c>
      <c r="D1740" t="str">
        <f>HYPERLINK("https://inventaire.cncp.gouv.fr/fiches/425/","425")</f>
        <v>425</v>
      </c>
      <c r="E1740" t="str">
        <f>HYPERLINK("http://www.intercariforef.org/formations/certification-84952.html","84952")</f>
        <v>84952</v>
      </c>
      <c r="F1740" s="1">
        <v>42178</v>
      </c>
      <c r="G1740" s="1">
        <v>42979</v>
      </c>
    </row>
    <row r="1741">
      <c r="A1741" t="str">
        <v>Qualité</v>
      </c>
      <c r="B1741" t="str">
        <v>COFREND Ressuage (PT) niveau 3 - secteur Produits Métalliques (CCPM)</v>
      </c>
      <c r="C1741" t="str">
        <v>COFREND</v>
      </c>
      <c r="D1741" t="str">
        <f>HYPERLINK("https://inventaire.cncp.gouv.fr/fiches/411/","411")</f>
        <v>411</v>
      </c>
      <c r="E1741" t="str">
        <f>HYPERLINK("http://www.intercariforef.org/formations/certification-84954.html","84954")</f>
        <v>84954</v>
      </c>
      <c r="F1741" s="1">
        <v>42178</v>
      </c>
      <c r="G1741" s="1">
        <v>42979</v>
      </c>
    </row>
    <row r="1742">
      <c r="A1742" t="str">
        <v>Qualité</v>
      </c>
      <c r="B1742" t="str">
        <v>COFREND Thermographie (TT) niveau 1 - secteur Aéronautique (COSAC)</v>
      </c>
      <c r="C1742" t="str">
        <v>COFREND</v>
      </c>
      <c r="D1742" t="str">
        <f>HYPERLINK("https://inventaire.cncp.gouv.fr/fiches/482/","482")</f>
        <v>482</v>
      </c>
      <c r="E1742" t="str">
        <f>HYPERLINK("http://www.intercariforef.org/formations/certification-84969.html","84969")</f>
        <v>84969</v>
      </c>
      <c r="F1742" s="1">
        <v>42178</v>
      </c>
      <c r="G1742" s="1">
        <v>42979</v>
      </c>
    </row>
    <row r="1743">
      <c r="A1743" t="str">
        <v>Qualité</v>
      </c>
      <c r="B1743" t="str">
        <v>COFREND Thermographie (TT) niveau 2 - secteur Aéronautique (COSAC)</v>
      </c>
      <c r="C1743" t="str">
        <v>COFREND</v>
      </c>
      <c r="D1743" t="str">
        <f>HYPERLINK("https://inventaire.cncp.gouv.fr/fiches/485/","485")</f>
        <v>485</v>
      </c>
      <c r="E1743" t="str">
        <f>HYPERLINK("http://www.intercariforef.org/formations/certification-84968.html","84968")</f>
        <v>84968</v>
      </c>
      <c r="F1743" s="1">
        <v>42178</v>
      </c>
      <c r="G1743" s="1">
        <v>42979</v>
      </c>
    </row>
    <row r="1744">
      <c r="A1744" t="str">
        <v>Qualité</v>
      </c>
      <c r="B1744" t="str">
        <v>COFREND Thermographie (TT) niveau 3 - secteur Aéronautique (COSAC)</v>
      </c>
      <c r="C1744" t="str">
        <v>COFREND</v>
      </c>
      <c r="D1744" t="str">
        <f>HYPERLINK("https://inventaire.cncp.gouv.fr/fiches/487/","487")</f>
        <v>487</v>
      </c>
      <c r="E1744" t="str">
        <f>HYPERLINK("http://www.intercariforef.org/formations/certification-84967.html","84967")</f>
        <v>84967</v>
      </c>
      <c r="F1744" s="1">
        <v>42178</v>
      </c>
      <c r="G1744" s="1">
        <v>42979</v>
      </c>
    </row>
    <row r="1745">
      <c r="A1745" t="str">
        <v>Qualité</v>
      </c>
      <c r="B1745" t="str">
        <v>COFREND TOFD (TOFD) niveau 2 - secteur Fabrication et Maintenance (CIFM)</v>
      </c>
      <c r="C1745" t="str">
        <v>COFREND</v>
      </c>
      <c r="D1745" t="str">
        <f>HYPERLINK("https://inventaire.cncp.gouv.fr/fiches/1327/","1327")</f>
        <v>1327</v>
      </c>
      <c r="E1745" t="str">
        <f>HYPERLINK("http://www.intercariforef.org/formations/certification-86211.html","86211")</f>
        <v>86211</v>
      </c>
      <c r="F1745" s="1">
        <v>42320</v>
      </c>
      <c r="G1745" s="1">
        <v>42320</v>
      </c>
    </row>
    <row r="1746">
      <c r="A1746" t="str">
        <v>Qualité</v>
      </c>
      <c r="B1746" t="str">
        <v>COFREND TOFD (TOFD) niveau 3 - secteur Fabrication et Maintenance (CIFM)</v>
      </c>
      <c r="C1746" t="str">
        <v>COFREND</v>
      </c>
      <c r="D1746" t="str">
        <f>HYPERLINK("https://inventaire.cncp.gouv.fr/fiches/1330/","1330")</f>
        <v>1330</v>
      </c>
      <c r="E1746" t="str">
        <f>HYPERLINK("http://www.intercariforef.org/formations/certification-86212.html","86212")</f>
        <v>86212</v>
      </c>
      <c r="F1746" s="1">
        <v>42320</v>
      </c>
      <c r="G1746" s="1">
        <v>42320</v>
      </c>
    </row>
    <row r="1747">
      <c r="A1747" t="str">
        <v>Qualité</v>
      </c>
      <c r="B1747" t="str">
        <v>COFREND Ultrasons (UT) niveau 1 - secteur Aéronautique (COSAC)</v>
      </c>
      <c r="C1747" t="str">
        <v>COFREND</v>
      </c>
      <c r="D1747" t="str">
        <f>HYPERLINK("https://inventaire.cncp.gouv.fr/fiches/503/","503")</f>
        <v>503</v>
      </c>
      <c r="E1747" t="str">
        <f>HYPERLINK("http://www.intercariforef.org/formations/certification-84966.html","84966")</f>
        <v>84966</v>
      </c>
      <c r="F1747" s="1">
        <v>42178</v>
      </c>
      <c r="G1747" s="1">
        <v>42178</v>
      </c>
    </row>
    <row r="1748">
      <c r="A1748" t="str">
        <v>Qualité</v>
      </c>
      <c r="B1748" t="str">
        <v>COFREND Ultrasons (UT) niveau 1 - secteur Fabrication et Maintenance (CIFM)</v>
      </c>
      <c r="C1748" t="str">
        <v>COFREND</v>
      </c>
      <c r="D1748" t="str">
        <f>HYPERLINK("https://inventaire.cncp.gouv.fr/fiches/455/","455")</f>
        <v>455</v>
      </c>
      <c r="E1748" t="str">
        <f>HYPERLINK("http://www.intercariforef.org/formations/certification-84955.html","84955")</f>
        <v>84955</v>
      </c>
      <c r="F1748" s="1">
        <v>42178</v>
      </c>
      <c r="G1748" s="1">
        <v>42178</v>
      </c>
    </row>
    <row r="1749">
      <c r="A1749" t="str">
        <v>Qualité</v>
      </c>
      <c r="B1749" t="str">
        <v>COFREND Ultrasons (UT) niveau 1 - secteur Produits Métalliques (CCPM)</v>
      </c>
      <c r="C1749" t="str">
        <v>COFREND</v>
      </c>
      <c r="D1749" t="str">
        <f>HYPERLINK("https://inventaire.cncp.gouv.fr/fiches/415/","415")</f>
        <v>415</v>
      </c>
      <c r="E1749" t="str">
        <f>HYPERLINK("http://www.intercariforef.org/formations/certification-84950.html","84950")</f>
        <v>84950</v>
      </c>
      <c r="F1749" s="1">
        <v>42178</v>
      </c>
      <c r="G1749" s="1">
        <v>42178</v>
      </c>
    </row>
    <row r="1750">
      <c r="A1750" t="str">
        <v>Qualité</v>
      </c>
      <c r="B1750" t="str">
        <v>COFREND Ultrasons (UT) niveau 2 - secteur Aéronautique (COSAC)</v>
      </c>
      <c r="C1750" t="str">
        <v>COFREND</v>
      </c>
      <c r="D1750" t="str">
        <f>HYPERLINK("https://inventaire.cncp.gouv.fr/fiches/505/","505")</f>
        <v>505</v>
      </c>
      <c r="E1750" t="str">
        <f>HYPERLINK("http://www.intercariforef.org/formations/certification-84962.html","84962")</f>
        <v>84962</v>
      </c>
      <c r="F1750" s="1">
        <v>42178</v>
      </c>
      <c r="G1750" s="1">
        <v>42178</v>
      </c>
    </row>
    <row r="1751">
      <c r="A1751" t="str">
        <v>Qualité</v>
      </c>
      <c r="B1751" t="str">
        <v>COFREND Ultrasons (UT) niveau 2 - secteur Fabrication et Maintenance (CIFM)</v>
      </c>
      <c r="C1751" t="str">
        <v>COFREND</v>
      </c>
      <c r="D1751" t="str">
        <f>HYPERLINK("https://inventaire.cncp.gouv.fr/fiches/456/","456")</f>
        <v>456</v>
      </c>
      <c r="E1751" t="str">
        <f>HYPERLINK("http://www.intercariforef.org/formations/certification-84953.html","84953")</f>
        <v>84953</v>
      </c>
      <c r="F1751" s="1">
        <v>42178</v>
      </c>
      <c r="G1751" s="1">
        <v>42178</v>
      </c>
    </row>
    <row r="1752">
      <c r="A1752" t="str">
        <v>Qualité</v>
      </c>
      <c r="B1752" t="str">
        <v>COFREND Ultrasons (UT) niveau 2 - secteur Produits Métalliques (CCPM)</v>
      </c>
      <c r="C1752" t="str">
        <v>COFREND</v>
      </c>
      <c r="D1752" t="str">
        <f>HYPERLINK("https://inventaire.cncp.gouv.fr/fiches/416/","416")</f>
        <v>416</v>
      </c>
      <c r="E1752" t="str">
        <f>HYPERLINK("http://www.intercariforef.org/formations/certification-84946.html","84946")</f>
        <v>84946</v>
      </c>
      <c r="F1752" s="1">
        <v>42178</v>
      </c>
      <c r="G1752" s="1">
        <v>42178</v>
      </c>
    </row>
    <row r="1753">
      <c r="A1753" t="str">
        <v>Qualité</v>
      </c>
      <c r="B1753" t="str">
        <v>COFREND Ultrasons (UT) niveau 3 - secteur Aéronautique (COSAC)</v>
      </c>
      <c r="C1753" t="str">
        <v>COFREND</v>
      </c>
      <c r="D1753" t="str">
        <f>HYPERLINK("https://inventaire.cncp.gouv.fr/fiches/506/","506")</f>
        <v>506</v>
      </c>
      <c r="E1753" t="str">
        <f>HYPERLINK("http://www.intercariforef.org/formations/certification-84960.html","84960")</f>
        <v>84960</v>
      </c>
      <c r="F1753" s="1">
        <v>42178</v>
      </c>
      <c r="G1753" s="1">
        <v>42178</v>
      </c>
    </row>
    <row r="1754">
      <c r="A1754" t="str">
        <v>Qualité</v>
      </c>
      <c r="B1754" t="str">
        <v>COFREND Ultrasons (UT) niveau 3 - secteur Fabrication et Maintenance (CIFM)</v>
      </c>
      <c r="C1754" t="str">
        <v>COFREND</v>
      </c>
      <c r="D1754" t="str">
        <f>HYPERLINK("https://inventaire.cncp.gouv.fr/fiches/457/","457")</f>
        <v>457</v>
      </c>
      <c r="E1754" t="str">
        <f>HYPERLINK("http://www.intercariforef.org/formations/certification-84951.html","84951")</f>
        <v>84951</v>
      </c>
      <c r="F1754" s="1">
        <v>42178</v>
      </c>
      <c r="G1754" s="1">
        <v>42178</v>
      </c>
    </row>
    <row r="1755">
      <c r="A1755" t="str">
        <v>Qualité</v>
      </c>
      <c r="B1755" t="str">
        <v>COFREND Ultrasons (UT) niveau 3 - secteur Produits Métalliques (CCPM)</v>
      </c>
      <c r="C1755" t="str">
        <v>COFREND</v>
      </c>
      <c r="D1755" t="str">
        <f>HYPERLINK("https://inventaire.cncp.gouv.fr/fiches/410/","410")</f>
        <v>410</v>
      </c>
      <c r="E1755" t="str">
        <f>HYPERLINK("http://www.intercariforef.org/formations/certification-84945.html","84945")</f>
        <v>84945</v>
      </c>
      <c r="F1755" s="1">
        <v>42178</v>
      </c>
      <c r="G1755" s="1">
        <v>42178</v>
      </c>
    </row>
    <row r="1756">
      <c r="A1756" t="str">
        <v>Qualité</v>
      </c>
      <c r="B1756" t="str">
        <v>COFREND Visuel (VT) niveau 1 - secteur Fabrication et Maintenance (CIFM)</v>
      </c>
      <c r="C1756" t="str">
        <v>COFREND</v>
      </c>
      <c r="D1756" t="str">
        <f>HYPERLINK("https://inventaire.cncp.gouv.fr/fiches/458/","458")</f>
        <v>458</v>
      </c>
      <c r="E1756" t="str">
        <f>HYPERLINK("http://www.intercariforef.org/formations/certification-84943.html","84943")</f>
        <v>84943</v>
      </c>
      <c r="F1756" s="1">
        <v>42178</v>
      </c>
      <c r="G1756" s="1">
        <v>42178</v>
      </c>
    </row>
    <row r="1757">
      <c r="A1757" t="str">
        <v>Qualité</v>
      </c>
      <c r="B1757" t="str">
        <v>COFREND Visuel (VT) niveau 2 - secteur Fabrication et Maintenance (CIFM)</v>
      </c>
      <c r="C1757" t="str">
        <v>COFREND</v>
      </c>
      <c r="D1757" t="str">
        <f>HYPERLINK("https://inventaire.cncp.gouv.fr/fiches/459/","459")</f>
        <v>459</v>
      </c>
      <c r="E1757" t="str">
        <f>HYPERLINK("http://www.intercariforef.org/formations/certification-84940.html","84940")</f>
        <v>84940</v>
      </c>
      <c r="F1757" s="1">
        <v>42178</v>
      </c>
      <c r="G1757" s="1">
        <v>42178</v>
      </c>
    </row>
    <row r="1758">
      <c r="A1758" t="str">
        <v>Qualité</v>
      </c>
      <c r="B1758" t="str">
        <v>COFREND Visuel (VT) niveau 3 - secteur Fabrication et Maintenance (CIFM)</v>
      </c>
      <c r="C1758" t="str">
        <v>COFREND</v>
      </c>
      <c r="D1758" t="str">
        <f>HYPERLINK("https://inventaire.cncp.gouv.fr/fiches/460/","460")</f>
        <v>460</v>
      </c>
      <c r="E1758" t="str">
        <f>HYPERLINK("http://www.intercariforef.org/formations/certification-84937.html","84937")</f>
        <v>84937</v>
      </c>
      <c r="F1758" s="1">
        <v>42178</v>
      </c>
      <c r="G1758" s="1">
        <v>42178</v>
      </c>
    </row>
    <row r="1759">
      <c r="A1759" t="str">
        <v>Qualité</v>
      </c>
      <c r="B1759" t="str">
        <v>Fonction métrologie dans l'entreprise</v>
      </c>
      <c r="C1759" t="str">
        <v>AFNOR</v>
      </c>
      <c r="D1759" t="str">
        <f>HYPERLINK("https://inventaire.cncp.gouv.fr/fiches/1864/","1864")</f>
        <v>1864</v>
      </c>
      <c r="E1759" t="str">
        <f>HYPERLINK("http://www.intercariforef.org/formations/certification-94765.html","94765")</f>
        <v>94765</v>
      </c>
      <c r="F1759" s="1">
        <v>42832</v>
      </c>
      <c r="G1759" s="1">
        <v>42979</v>
      </c>
    </row>
    <row r="1760">
      <c r="A1760" t="str">
        <v>Qualité</v>
      </c>
      <c r="B1760" t="str">
        <v>Intervenant premier niveau en qualité et prévention en organisme de formation</v>
      </c>
      <c r="C1760" t="str">
        <v>C3 institute</v>
      </c>
      <c r="D1760" t="str">
        <f>HYPERLINK("https://inventaire.cncp.gouv.fr/fiches/1902/","1902")</f>
        <v>1902</v>
      </c>
      <c r="E1760" t="str">
        <f>HYPERLINK("http://www.intercariforef.org/formations/certification-88385.html","88385")</f>
        <v>88385</v>
      </c>
      <c r="F1760" s="1">
        <v>42461</v>
      </c>
      <c r="G1760" s="1">
        <v>42979</v>
      </c>
    </row>
    <row r="1761">
      <c r="A1761" t="str">
        <v>Qualité</v>
      </c>
      <c r="B1761" t="str">
        <v>Maîtrise statistique des processus</v>
      </c>
      <c r="C1761" t="str">
        <v>Ecole polytechnique</v>
      </c>
      <c r="D1761" t="str">
        <f>HYPERLINK("https://inventaire.cncp.gouv.fr/fiches/1149/","1149")</f>
        <v>1149</v>
      </c>
      <c r="E1761" t="str">
        <f>HYPERLINK("http://www.intercariforef.org/formations/certification-86228.html","86228")</f>
        <v>86228</v>
      </c>
      <c r="F1761" s="1">
        <v>42324</v>
      </c>
      <c r="G1761" s="1">
        <v>42324</v>
      </c>
    </row>
    <row r="1762">
      <c r="A1762" t="str">
        <v>Qualité</v>
      </c>
      <c r="B1762" t="str">
        <v>Management qualité</v>
      </c>
      <c r="C1762" t="str">
        <v>AFNOR</v>
      </c>
      <c r="D1762" t="str">
        <f>HYPERLINK("https://inventaire.cncp.gouv.fr/fiches/1880/","1880")</f>
        <v>1880</v>
      </c>
      <c r="E1762" t="str">
        <f>HYPERLINK("http://www.intercariforef.org/formations/certification-93987.html","93987")</f>
        <v>93987</v>
      </c>
      <c r="F1762" s="1">
        <v>42745</v>
      </c>
      <c r="G1762" s="1">
        <v>43152</v>
      </c>
    </row>
    <row r="1763">
      <c r="A1763" t="str">
        <v>Qualité</v>
      </c>
      <c r="B1763" t="str">
        <v>Pilotage de la performance niveau « Expert » - Lean / Lean Six Sigma Black Belt</v>
      </c>
      <c r="C1763" t="str">
        <v>Ecole polytechnique</v>
      </c>
      <c r="D1763" t="str">
        <f>HYPERLINK("https://inventaire.cncp.gouv.fr/fiches/1431/","1431")</f>
        <v>1431</v>
      </c>
      <c r="E1763" t="str">
        <f>HYPERLINK("http://www.intercariforef.org/formations/certification-88531.html","88531")</f>
        <v>88531</v>
      </c>
      <c r="F1763" s="1">
        <v>42467</v>
      </c>
      <c r="G1763" s="1">
        <v>42979</v>
      </c>
    </row>
    <row r="1764">
      <c r="A1764" t="str">
        <v>Qualité</v>
      </c>
      <c r="B1764" t="str">
        <v>Pilote de chantier de transformation</v>
      </c>
      <c r="C1764" t="str">
        <v>Ecole polytechnique</v>
      </c>
      <c r="D1764" t="str">
        <f>HYPERLINK("https://inventaire.cncp.gouv.fr/fiches/2359/","2359")</f>
        <v>2359</v>
      </c>
      <c r="E1764" t="str">
        <f>HYPERLINK("http://www.intercariforef.org/formations/certification-95467.html","95467")</f>
        <v>95467</v>
      </c>
      <c r="F1764" s="1">
        <v>42884</v>
      </c>
      <c r="G1764" s="1">
        <v>42979</v>
      </c>
    </row>
    <row r="1765">
      <c r="A1765" t="str">
        <v>Ressources humaines</v>
      </c>
      <c r="B1765" t="str">
        <v>Accompagnement à la mobilité professionnelle</v>
      </c>
      <c r="C1765" t="str">
        <v>Heliofelis</v>
      </c>
      <c r="D1765" t="str">
        <f>HYPERLINK("https://inventaire.cncp.gouv.fr/fiches/2487/","2487")</f>
        <v>2487</v>
      </c>
      <c r="E1765" t="str">
        <f>HYPERLINK("http://www.intercariforef.org/formations/certification-96431.html","96431")</f>
        <v>96431</v>
      </c>
      <c r="F1765" s="1">
        <v>42923</v>
      </c>
      <c r="G1765" s="1">
        <v>42923</v>
      </c>
    </row>
    <row r="1766">
      <c r="A1766" t="str">
        <v>Ressources humaines</v>
      </c>
      <c r="B1766" t="str">
        <v>Apprendre à apprendre à l'ère du digital</v>
      </c>
      <c r="C1766" t="str">
        <v>Unow</v>
      </c>
      <c r="D1766" t="str">
        <f>HYPERLINK("https://inventaire.cncp.gouv.fr/fiches/3678/","3678")</f>
        <v>3678</v>
      </c>
      <c r="E1766" t="str">
        <f>HYPERLINK("http://www.intercariforef.org/formations/certification-103983.html","103983")</f>
        <v>103983</v>
      </c>
      <c r="F1766" s="1">
        <v>43391</v>
      </c>
      <c r="G1766" s="1">
        <v>43391</v>
      </c>
    </row>
    <row r="1767">
      <c r="A1767" t="str">
        <v>Ressources humaines</v>
      </c>
      <c r="B1767" t="str">
        <v>Certificat activité de médiation</v>
      </c>
      <c r="C1767" t="str">
        <v>Ecole professionnelle de la médiation et de la négociation Médiateurs Associés</v>
      </c>
      <c r="D1767" t="str">
        <f>HYPERLINK("https://inventaire.cncp.gouv.fr/fiches/2669/","2669")</f>
        <v>2669</v>
      </c>
      <c r="E1767" t="str">
        <f>HYPERLINK("http://www.intercariforef.org/formations/certification-95649.html","95649")</f>
        <v>95649</v>
      </c>
      <c r="F1767" s="1">
        <v>42893</v>
      </c>
      <c r="G1767" s="1">
        <v>42893</v>
      </c>
    </row>
    <row r="1768">
      <c r="A1768" t="str">
        <v>Ressources humaines</v>
      </c>
      <c r="B1768" t="str">
        <v>Certificat de maitrise de la solution logicielle de gestion des ressources humaines, FRONT RH</v>
      </c>
      <c r="C1768" t="str">
        <v>Cegid groupe</v>
      </c>
      <c r="D1768" t="str">
        <f>HYPERLINK("https://inventaire.cncp.gouv.fr/fiches/2495/","2495")</f>
        <v>2495</v>
      </c>
      <c r="E1768" t="str">
        <f>HYPERLINK("http://www.intercariforef.org/formations/certification-93791.html","93791")</f>
        <v>93791</v>
      </c>
      <c r="F1768" s="1">
        <v>42725</v>
      </c>
      <c r="G1768" s="1">
        <v>42725</v>
      </c>
    </row>
    <row r="1769" ht="26.2" customHeight="1">
      <c r="A1769" t="str">
        <v>Ressources humaines</v>
      </c>
      <c r="B1769" t="str">
        <v>Certificat de maîtrise de la solution logicielle de Gestion des Ressources Humaines, YourCegid RH Y2</v>
      </c>
      <c r="C1769" t="str">
        <v>Cegid groupe</v>
      </c>
      <c r="D1769" t="str">
        <f>HYPERLINK("https://inventaire.cncp.gouv.fr/fiches/2978/","2978")</f>
        <v>2978</v>
      </c>
      <c r="E1769" t="str">
        <f>HYPERLINK("http://www.intercariforef.org/formations/certification-99255.html","99255")</f>
        <v>99255</v>
      </c>
      <c r="F1769" s="1">
        <v>43080</v>
      </c>
      <c r="G1769" s="1">
        <v>43080</v>
      </c>
    </row>
    <row r="1770">
      <c r="A1770" t="str">
        <v>Ressources humaines</v>
      </c>
      <c r="B1770" t="str">
        <v>Certificat en recrutement et sourcing</v>
      </c>
      <c r="C1770" t="str">
        <v>Link Humans</v>
      </c>
      <c r="D1770" t="str">
        <f>HYPERLINK("https://inventaire.cncp.gouv.fr/fiches/3428/","3428")</f>
        <v>3428</v>
      </c>
      <c r="E1770" t="str">
        <f>HYPERLINK("http://www.intercariforef.org/formations/certification-100631.html","100631")</f>
        <v>100631</v>
      </c>
      <c r="F1770" s="1">
        <v>43193</v>
      </c>
      <c r="G1770" s="1">
        <v>43193</v>
      </c>
    </row>
    <row r="1771">
      <c r="A1771" t="str">
        <v>Ressources humaines</v>
      </c>
      <c r="B1771" t="str">
        <v>Certificat relations sociales</v>
      </c>
      <c r="C1771" t="str">
        <v>Université Paris-Dauphine</v>
      </c>
      <c r="D1771" t="str">
        <f>HYPERLINK("https://inventaire.cncp.gouv.fr/fiches/2470/","2470")</f>
        <v>2470</v>
      </c>
      <c r="E1771" t="str">
        <f>HYPERLINK("http://www.intercariforef.org/formations/certification-94889.html","94889")</f>
        <v>94889</v>
      </c>
      <c r="F1771" s="1">
        <v>42836</v>
      </c>
      <c r="G1771" s="1">
        <v>43152</v>
      </c>
    </row>
    <row r="1772">
      <c r="A1772" t="str">
        <v>Ressources humaines</v>
      </c>
      <c r="B1772" t="str">
        <v>Certification à la pratique de la médiation en entreprise</v>
      </c>
      <c r="C1772" t="str">
        <v>Institut français de la médiation</v>
      </c>
      <c r="D1772" t="str">
        <f>HYPERLINK("https://inventaire.cncp.gouv.fr/fiches/1582/","1582")</f>
        <v>1582</v>
      </c>
      <c r="E1772" t="str">
        <f>HYPERLINK("http://www.intercariforef.org/formations/certification-87685.html","87685")</f>
        <v>87685</v>
      </c>
      <c r="F1772" s="1">
        <v>42418</v>
      </c>
      <c r="G1772" s="1">
        <v>42418</v>
      </c>
    </row>
    <row r="1773">
      <c r="A1773" t="str">
        <v>Ressources humaines</v>
      </c>
      <c r="B1773" t="str">
        <v>Certification en coaching de visiteurs médicaux de l'industrie pharmaceutique</v>
      </c>
      <c r="C1773" t="str">
        <v>Institut de formation industrie de santé (IFIS)</v>
      </c>
      <c r="D1773" t="str">
        <f>HYPERLINK("https://inventaire.cncp.gouv.fr/fiches/666/","666")</f>
        <v>666</v>
      </c>
      <c r="E1773" t="str">
        <f>HYPERLINK("http://www.intercariforef.org/formations/certification-84961.html","84961")</f>
        <v>84961</v>
      </c>
      <c r="F1773" s="1">
        <v>42178</v>
      </c>
      <c r="G1773" s="1">
        <v>42178</v>
      </c>
    </row>
    <row r="1774">
      <c r="A1774" t="str">
        <v>Ressources humaines</v>
      </c>
      <c r="B1774" t="str">
        <v>Compétences coaching et management</v>
      </c>
      <c r="C1774" t="str">
        <v>Convergence conseil RH</v>
      </c>
      <c r="D1774" t="str">
        <f>HYPERLINK("https://inventaire.cncp.gouv.fr/fiches/3071/","3071")</f>
        <v>3071</v>
      </c>
      <c r="E1774" t="str">
        <f>HYPERLINK("http://www.intercariforef.org/formations/certification-101211.html","101211")</f>
        <v>101211</v>
      </c>
      <c r="F1774" s="1">
        <v>43251</v>
      </c>
      <c r="G1774" s="1">
        <v>43251</v>
      </c>
    </row>
    <row r="1775">
      <c r="A1775" t="str">
        <v>Ressources humaines</v>
      </c>
      <c r="B1775" t="str">
        <v>CP FFP management des ressources humaines</v>
      </c>
      <c r="C1775" t="str">
        <v>Cegos</v>
      </c>
      <c r="D1775" t="str">
        <f>HYPERLINK("https://inventaire.cncp.gouv.fr/fiches/870/","870")</f>
        <v>870</v>
      </c>
      <c r="E1775" t="str">
        <f>HYPERLINK("http://www.intercariforef.org/formations/certification-86398.html","86398")</f>
        <v>86398</v>
      </c>
      <c r="F1775" s="1">
        <v>42340</v>
      </c>
      <c r="G1775" s="1">
        <v>42340</v>
      </c>
    </row>
    <row r="1776">
      <c r="A1776" t="str">
        <v>Ressources humaines</v>
      </c>
      <c r="B1776" t="str">
        <v>Détecter et développer les talents</v>
      </c>
      <c r="C1776" t="str">
        <v>Heliofelis</v>
      </c>
      <c r="D1776" t="str">
        <f>HYPERLINK("https://inventaire.cncp.gouv.fr/fiches/2488/","2488")</f>
        <v>2488</v>
      </c>
      <c r="E1776" t="str">
        <f>HYPERLINK("http://www.intercariforef.org/formations/certification-96843.html","96843")</f>
        <v>96843</v>
      </c>
      <c r="F1776" s="1">
        <v>42937</v>
      </c>
      <c r="G1776" s="1">
        <v>42937</v>
      </c>
    </row>
    <row r="1777">
      <c r="A1777" t="str">
        <v>Ressources humaines</v>
      </c>
      <c r="B1777" t="str">
        <v>Développer son leadership</v>
      </c>
      <c r="C1777" t="str">
        <v>Unow</v>
      </c>
      <c r="D1777" t="str">
        <f>HYPERLINK("https://inventaire.cncp.gouv.fr/fiches/3627/","3627")</f>
        <v>3627</v>
      </c>
      <c r="E1777" t="str">
        <f>HYPERLINK("http://www.intercariforef.org/formations/certification-101151.html","101151")</f>
        <v>101151</v>
      </c>
      <c r="F1777" s="1">
        <v>43250</v>
      </c>
      <c r="G1777" s="1">
        <v>43279</v>
      </c>
    </row>
    <row r="1778">
      <c r="A1778" t="str">
        <v>Ressources humaines</v>
      </c>
      <c r="B1778" t="str">
        <v>Digital RH</v>
      </c>
      <c r="C1778" t="str">
        <v>Unow</v>
      </c>
      <c r="D1778" t="str">
        <f>HYPERLINK("https://inventaire.cncp.gouv.fr/fiches/3679/","3679")</f>
        <v>3679</v>
      </c>
      <c r="E1778" t="str">
        <f>HYPERLINK("http://www.intercariforef.org/formations/certification-103987.html","103987")</f>
        <v>103987</v>
      </c>
      <c r="F1778" s="1">
        <v>43391</v>
      </c>
      <c r="G1778" s="1">
        <v>43391</v>
      </c>
    </row>
    <row r="1779">
      <c r="A1779" t="str">
        <v>Ressources humaines</v>
      </c>
      <c r="B1779" t="str">
        <v>DU médiation et gestion des conflits</v>
      </c>
      <c r="C1779" t="str">
        <v>Université François Rabelais - Tours</v>
      </c>
      <c r="D1779" t="str">
        <f>HYPERLINK("https://inventaire.cncp.gouv.fr/fiches/2963/","2963")</f>
        <v>2963</v>
      </c>
      <c r="E1779" t="str">
        <f>HYPERLINK("http://www.intercariforef.org/formations/certification-99253.html","99253")</f>
        <v>99253</v>
      </c>
      <c r="F1779" s="1">
        <v>43080</v>
      </c>
      <c r="G1779" s="1">
        <v>43080</v>
      </c>
    </row>
    <row r="1780" ht="26.2" customHeight="1">
      <c r="A1780" t="str">
        <v>Ressources humaines</v>
      </c>
      <c r="B1780" t="str">
        <v>Évaluation de compétences professionnelles</v>
      </c>
      <c r="C1780" t="str">
        <v>CPNE de la métallurgie, CPNE de l'industrie textile, CPNE de l'intersecteurs papiers-cartons, CPNE des industries de santé</v>
      </c>
      <c r="D1780" t="str">
        <f>HYPERLINK("https://inventaire.cncp.gouv.fr/fiches/1751/","1751")</f>
        <v>1751</v>
      </c>
      <c r="E1780" t="str">
        <f>HYPERLINK("http://www.intercariforef.org/formations/certification-88395.html","88395")</f>
        <v>88395</v>
      </c>
      <c r="F1780" s="1">
        <v>42461</v>
      </c>
      <c r="G1780" s="1">
        <v>42979</v>
      </c>
    </row>
    <row r="1781">
      <c r="A1781" t="str">
        <v>Ressources humaines</v>
      </c>
      <c r="B1781" t="str">
        <v>Évaluer les talents managériaux</v>
      </c>
      <c r="C1781" t="str">
        <v>Convergence conseil RH</v>
      </c>
      <c r="D1781" t="str">
        <f>HYPERLINK("https://inventaire.cncp.gouv.fr/fiches/2755/","2755")</f>
        <v>2755</v>
      </c>
      <c r="E1781" t="str">
        <f>HYPERLINK("http://www.intercariforef.org/formations/certification-95433.html","95433")</f>
        <v>95433</v>
      </c>
      <c r="F1781" s="1">
        <v>42884</v>
      </c>
      <c r="G1781" s="1">
        <v>42884</v>
      </c>
    </row>
    <row r="1782">
      <c r="A1782" t="str">
        <v>Ressources humaines</v>
      </c>
      <c r="B1782" t="str">
        <v>Expertise en protection sociale</v>
      </c>
      <c r="C1782" t="str">
        <v>Institut des Carrières Européennes de l'Expertise - Finance Formation (ICEE - FF)</v>
      </c>
      <c r="D1782" t="str">
        <f>HYPERLINK("https://inventaire.cncp.gouv.fr/fiches/2490/","2490")</f>
        <v>2490</v>
      </c>
      <c r="E1782" t="str">
        <f>HYPERLINK("http://www.intercariforef.org/formations/certification-93879.html","93879")</f>
        <v>93879</v>
      </c>
      <c r="F1782" s="1">
        <v>42744</v>
      </c>
      <c r="G1782" s="1">
        <v>42744</v>
      </c>
    </row>
    <row r="1783">
      <c r="A1783" t="str">
        <v>Ressources humaines</v>
      </c>
      <c r="B1783" t="str">
        <v>Gérer administrativement le personnel intérimaire</v>
      </c>
      <c r="C1783" t="str">
        <v>Man'Agir</v>
      </c>
      <c r="D1783" t="str">
        <f>HYPERLINK("https://inventaire.cncp.gouv.fr/fiches/2079/","2079")</f>
        <v>2079</v>
      </c>
      <c r="E1783" t="str">
        <f>HYPERLINK("http://www.intercariforef.org/formations/certification-89199.html","89199")</f>
        <v>89199</v>
      </c>
      <c r="F1783" s="1">
        <v>42521</v>
      </c>
      <c r="G1783" s="1">
        <v>42521</v>
      </c>
    </row>
    <row r="1784">
      <c r="A1784" t="str">
        <v>Ressources humaines</v>
      </c>
      <c r="B1784" t="str">
        <v>Gérer les salariés en mobilité internationale</v>
      </c>
      <c r="C1784" t="str">
        <v>Gereso</v>
      </c>
      <c r="D1784" t="str">
        <f>HYPERLINK("https://inventaire.cncp.gouv.fr/fiches/3281/","3281")</f>
        <v>3281</v>
      </c>
      <c r="E1784" t="str">
        <f>HYPERLINK("http://www.intercariforef.org/formations/certification-100091.html","100091")</f>
        <v>100091</v>
      </c>
      <c r="F1784" s="1">
        <v>43152</v>
      </c>
      <c r="G1784" s="1">
        <v>43152</v>
      </c>
    </row>
    <row r="1785">
      <c r="A1785" t="str">
        <v>Ressources humaines</v>
      </c>
      <c r="B1785" t="str">
        <v>Gestion administrative du personnel</v>
      </c>
      <c r="C1785" t="str">
        <v>DEMOS</v>
      </c>
      <c r="D1785" t="str">
        <f>HYPERLINK("https://inventaire.cncp.gouv.fr/fiches/1776/","1776")</f>
        <v>1776</v>
      </c>
      <c r="E1785" t="str">
        <f>HYPERLINK("http://www.intercariforef.org/formations/certification-90023.html","90023")</f>
        <v>90023</v>
      </c>
      <c r="F1785" s="1">
        <v>42558</v>
      </c>
      <c r="G1785" s="1">
        <v>42558</v>
      </c>
    </row>
    <row r="1786">
      <c r="A1786" t="str">
        <v>Ressources humaines</v>
      </c>
      <c r="B1786" t="str">
        <v>Gestion des ressources humaines - CP FFP</v>
      </c>
      <c r="C1786" t="str">
        <v>Édition formation entreprise (EFE)</v>
      </c>
      <c r="D1786" t="str">
        <f>HYPERLINK("https://inventaire.cncp.gouv.fr/fiches/1170/","1170")</f>
        <v>1170</v>
      </c>
      <c r="E1786" t="str">
        <f>HYPERLINK("http://www.intercariforef.org/formations/certification-86381.html","86381")</f>
        <v>86381</v>
      </c>
      <c r="F1786" s="1">
        <v>42340</v>
      </c>
      <c r="G1786" s="1">
        <v>43392</v>
      </c>
    </row>
    <row r="1787">
      <c r="A1787" t="str">
        <v>Ressources humaines</v>
      </c>
      <c r="B1787" t="str">
        <v>Gestion du stress et du bien-être professionnel</v>
      </c>
      <c r="C1787" t="str">
        <v>Unow</v>
      </c>
      <c r="D1787" t="str">
        <f>HYPERLINK("https://inventaire.cncp.gouv.fr/fiches/3630/","3630")</f>
        <v>3630</v>
      </c>
      <c r="E1787" t="str">
        <f>HYPERLINK("http://www.intercariforef.org/formations/certification-101347.html","101347")</f>
        <v>101347</v>
      </c>
      <c r="F1787" s="1">
        <v>43256</v>
      </c>
      <c r="G1787" s="1">
        <v>43353</v>
      </c>
    </row>
    <row r="1788">
      <c r="A1788" t="str">
        <v>Ressources humaines</v>
      </c>
      <c r="B1788" t="str">
        <v>Gestion du temps à l'ère du digital</v>
      </c>
      <c r="C1788" t="str">
        <v>Unow</v>
      </c>
      <c r="D1788" t="str">
        <f>HYPERLINK("https://inventaire.cncp.gouv.fr/fiches/3631/","3631")</f>
        <v>3631</v>
      </c>
      <c r="E1788" t="str">
        <f>HYPERLINK("http://www.intercariforef.org/formations/certification-101149.html","101149")</f>
        <v>101149</v>
      </c>
      <c r="F1788" s="1">
        <v>43250</v>
      </c>
      <c r="G1788" s="1">
        <v>43353</v>
      </c>
    </row>
    <row r="1789">
      <c r="A1789" t="str">
        <v>Ressources humaines</v>
      </c>
      <c r="B1789" t="str">
        <v>La Paie en Entreprise</v>
      </c>
      <c r="C1789" t="str">
        <v>DEMOS</v>
      </c>
      <c r="D1789" t="str">
        <f>HYPERLINK("https://inventaire.cncp.gouv.fr/fiches/2551/","2551")</f>
        <v>2551</v>
      </c>
      <c r="E1789" t="str">
        <f>HYPERLINK("http://www.intercariforef.org/formations/certification-95659.html","95659")</f>
        <v>95659</v>
      </c>
      <c r="F1789" s="1">
        <v>42893</v>
      </c>
      <c r="G1789" s="1">
        <v>42893</v>
      </c>
    </row>
    <row r="1790">
      <c r="A1790" t="str">
        <v>Ressources humaines</v>
      </c>
      <c r="B1790" t="str">
        <v>L'entretien annuel et l'entretien professionnel</v>
      </c>
      <c r="C1790" t="str">
        <v>Moortgat</v>
      </c>
      <c r="D1790" t="str">
        <f>HYPERLINK("https://inventaire.cncp.gouv.fr/fiches/2580/","2580")</f>
        <v>2580</v>
      </c>
      <c r="E1790" t="str">
        <f>HYPERLINK("http://www.intercariforef.org/formations/certification-96789.html","96789")</f>
        <v>96789</v>
      </c>
      <c r="F1790" s="1">
        <v>42934</v>
      </c>
      <c r="G1790" s="1">
        <v>42934</v>
      </c>
    </row>
    <row r="1791">
      <c r="A1791" t="str">
        <v>Ressources humaines</v>
      </c>
      <c r="B1791" t="str">
        <v>Les fondamentaux des ressources humaines</v>
      </c>
      <c r="C1791" t="str">
        <v>CP Formation</v>
      </c>
      <c r="D1791" t="str">
        <f>HYPERLINK("https://inventaire.cncp.gouv.fr/fiches/3340/","3340")</f>
        <v>3340</v>
      </c>
      <c r="E1791" t="str">
        <f>HYPERLINK("http://www.intercariforef.org/formations/certification-100623.html","100623")</f>
        <v>100623</v>
      </c>
      <c r="F1791" s="1">
        <v>43193</v>
      </c>
      <c r="G1791" s="1">
        <v>43193</v>
      </c>
    </row>
    <row r="1792">
      <c r="A1792" t="str">
        <v>Ressources humaines</v>
      </c>
      <c r="B1792" t="str">
        <v>Les techniques de recrutement</v>
      </c>
      <c r="C1792" t="str">
        <v>Com and Gie</v>
      </c>
      <c r="D1792" t="str">
        <f>HYPERLINK("https://inventaire.cncp.gouv.fr/fiches/3734/","3734")</f>
        <v>3734</v>
      </c>
      <c r="E1792" t="str">
        <f>HYPERLINK("http://www.intercariforef.org/formations/certification-102461.html","102461")</f>
        <v>102461</v>
      </c>
      <c r="F1792" s="1">
        <v>43298</v>
      </c>
      <c r="G1792" s="1">
        <v>43298</v>
      </c>
    </row>
    <row r="1793">
      <c r="A1793" t="str">
        <v>Ressources humaines</v>
      </c>
      <c r="B1793" t="str">
        <v>Management des ressources humaines</v>
      </c>
      <c r="C1793" t="str">
        <v>Centre européen des examens de la fédération européenne des écoles</v>
      </c>
      <c r="D1793" t="str">
        <f>HYPERLINK("https://inventaire.cncp.gouv.fr/fiches/3424/","3424")</f>
        <v>3424</v>
      </c>
      <c r="E1793" t="str">
        <f>HYPERLINK("http://www.intercariforef.org/formations/certification-100661.html","100661")</f>
        <v>100661</v>
      </c>
      <c r="F1793" s="1">
        <v>43194</v>
      </c>
      <c r="G1793" s="1">
        <v>43194</v>
      </c>
    </row>
    <row r="1794">
      <c r="A1794" t="str">
        <v>Ressources humaines</v>
      </c>
      <c r="B1794" t="str">
        <v>Management intermédiaire des remontées mécaniques et domaines skiables</v>
      </c>
      <c r="C1794" t="str">
        <v>CPNE des remontées mécaniques et domaines skiables</v>
      </c>
      <c r="D1794" t="str">
        <f>HYPERLINK("https://inventaire.cncp.gouv.fr/fiches/3338/","3338")</f>
        <v>3338</v>
      </c>
      <c r="E1794" t="str">
        <f>HYPERLINK("http://www.intercariforef.org/formations/certification-101185.html","101185")</f>
        <v>101185</v>
      </c>
      <c r="F1794" s="1">
        <v>43250</v>
      </c>
      <c r="G1794" s="1">
        <v>43250</v>
      </c>
    </row>
    <row r="1795" ht="26.2" customHeight="1">
      <c r="A1795" t="str">
        <v>Ressources humaines</v>
      </c>
      <c r="B1795" t="str">
        <v>Manager et Développer les Ressources Humaines</v>
      </c>
      <c r="C1795" t="str">
        <v>SKEMA Business school  - Paris, SKEMA Business School - Lille, SKEMA Business School - Sophia Antipolis</v>
      </c>
      <c r="D1795" t="str">
        <f>HYPERLINK("https://inventaire.cncp.gouv.fr/fiches/2642/","2642")</f>
        <v>2642</v>
      </c>
      <c r="E1795" t="str">
        <f>HYPERLINK("http://www.intercariforef.org/formations/certification-94863.html","94863")</f>
        <v>94863</v>
      </c>
      <c r="F1795" s="1">
        <v>42836</v>
      </c>
      <c r="G1795" s="1">
        <v>42836</v>
      </c>
    </row>
    <row r="1796" ht="26.2" customHeight="1">
      <c r="A1796" t="str">
        <v>Ressources humaines</v>
      </c>
      <c r="B1796" t="str">
        <v>Mise en place d'une démarche RH avec la GPEC (Gestion prévisionnelle des emplois et des compétences)</v>
      </c>
      <c r="C1796" t="str">
        <v>MJ Conseil en RH</v>
      </c>
      <c r="D1796" t="str">
        <f>HYPERLINK("https://inventaire.cncp.gouv.fr/fiches/1915/","1915")</f>
        <v>1915</v>
      </c>
      <c r="E1796" t="str">
        <f>HYPERLINK("http://www.intercariforef.org/formations/certification-90239.html","90239")</f>
        <v>90239</v>
      </c>
      <c r="F1796" s="1">
        <v>42563</v>
      </c>
      <c r="G1796" s="1">
        <v>42563</v>
      </c>
    </row>
    <row r="1797">
      <c r="A1797" t="str">
        <v>Ressources humaines</v>
      </c>
      <c r="B1797" t="str">
        <v>Pilotage des relations sociales</v>
      </c>
      <c r="C1797" t="str">
        <v>Édition formation entreprise (EFE)</v>
      </c>
      <c r="D1797" t="str">
        <f>HYPERLINK("https://inventaire.cncp.gouv.fr/fiches/2808/","2808")</f>
        <v>2808</v>
      </c>
      <c r="E1797" t="str">
        <f>HYPERLINK("http://www.intercariforef.org/formations/certification-95625.html","95625")</f>
        <v>95625</v>
      </c>
      <c r="F1797" s="1">
        <v>42893</v>
      </c>
      <c r="G1797" s="1">
        <v>43392</v>
      </c>
    </row>
    <row r="1798">
      <c r="A1798" t="str">
        <v>Ressources humaines</v>
      </c>
      <c r="B1798" t="str">
        <v>Prise de parole en public</v>
      </c>
      <c r="C1798" t="str">
        <v>Unow</v>
      </c>
      <c r="D1798" t="str">
        <f>HYPERLINK("https://inventaire.cncp.gouv.fr/fiches/3632/","3632")</f>
        <v>3632</v>
      </c>
      <c r="E1798" t="str">
        <f>HYPERLINK("http://www.intercariforef.org/formations/certification-101147.html","101147")</f>
        <v>101147</v>
      </c>
      <c r="F1798" s="1">
        <v>43250</v>
      </c>
      <c r="G1798" s="1">
        <v>43353</v>
      </c>
    </row>
    <row r="1799">
      <c r="A1799" t="str">
        <v>Ressources humaines</v>
      </c>
      <c r="B1799" t="str">
        <v>Recruter des salariés intérimaires</v>
      </c>
      <c r="C1799" t="str">
        <v>Man'Agir</v>
      </c>
      <c r="D1799" t="str">
        <f>HYPERLINK("https://inventaire.cncp.gouv.fr/fiches/2034/","2034")</f>
        <v>2034</v>
      </c>
      <c r="E1799" t="str">
        <f>HYPERLINK("http://www.intercariforef.org/formations/certification-89201.html","89201")</f>
        <v>89201</v>
      </c>
      <c r="F1799" s="1">
        <v>42521</v>
      </c>
      <c r="G1799" s="1">
        <v>42521</v>
      </c>
    </row>
    <row r="1800">
      <c r="A1800" t="str">
        <v>Ressources humaines</v>
      </c>
      <c r="B1800" t="str">
        <v>Type de personnalité et cohésion d'équipe</v>
      </c>
      <c r="C1800" t="str">
        <v>Osiris Conseil</v>
      </c>
      <c r="D1800" t="str">
        <f>HYPERLINK("https://inventaire.cncp.gouv.fr/fiches/3495/","3495")</f>
        <v>3495</v>
      </c>
      <c r="E1800" t="str">
        <f>HYPERLINK("http://www.intercariforef.org/formations/certification-101245.html","101245")</f>
        <v>101245</v>
      </c>
      <c r="F1800" s="1">
        <v>43255</v>
      </c>
      <c r="G1800" s="1">
        <v>43255</v>
      </c>
    </row>
    <row r="1801" ht="26.2" customHeight="1">
      <c r="A1801" t="str">
        <v>Sans objet</v>
      </c>
      <c r="B1801" t="str">
        <v>Management de la qualité des services intellectuels du prestataire</v>
      </c>
      <c r="C1801" t="str">
        <v>Institut de Certification des Professionnels de la Formation et de la Prestation de Services Intellectuels</v>
      </c>
      <c r="D1801" t="str">
        <f>HYPERLINK("https://inventaire.cncp.gouv.fr/fiches/2474/","2474")</f>
        <v>2474</v>
      </c>
      <c r="E1801" t="str">
        <f>HYPERLINK("http://www.intercariforef.org/formations/certification-100715.html","100715")</f>
        <v>100715</v>
      </c>
      <c r="F1801" s="1">
        <v>43199</v>
      </c>
      <c r="G1801" s="1">
        <v>43199</v>
      </c>
    </row>
    <row r="1802">
      <c r="A1802" t="str">
        <v>Sans objet</v>
      </c>
      <c r="B1802" t="str">
        <v>PASS Créa</v>
      </c>
      <c r="C1802" t="str">
        <v>Sodesi</v>
      </c>
      <c r="D1802" t="str">
        <f>HYPERLINK("https://inventaire.cncp.gouv.fr/fiches/3114/","3114")</f>
        <v>3114</v>
      </c>
      <c r="E1802" t="str">
        <f>HYPERLINK("http://www.intercariforef.org/formations/certification-100733.html","100733")</f>
        <v>100733</v>
      </c>
      <c r="F1802" s="1">
        <v>43200</v>
      </c>
      <c r="G1802" s="1">
        <v>43200</v>
      </c>
    </row>
    <row r="1803">
      <c r="A1803" t="str">
        <v>Santé, secteur sanitaire</v>
      </c>
      <c r="B1803" t="str">
        <v>Auditeur ICA Laboratoires de biologie médicale</v>
      </c>
      <c r="C1803" t="str">
        <v>AFNOR</v>
      </c>
      <c r="D1803" t="str">
        <f>HYPERLINK("https://inventaire.cncp.gouv.fr/fiches/3027/","3027")</f>
        <v>3027</v>
      </c>
      <c r="E1803" t="str">
        <f>HYPERLINK("http://www.intercariforef.org/formations/certification-96493.html","96493")</f>
        <v>96493</v>
      </c>
      <c r="F1803" s="1">
        <v>42928</v>
      </c>
      <c r="G1803" s="1">
        <v>43152</v>
      </c>
    </row>
    <row r="1804">
      <c r="A1804" t="str">
        <v>Santé, secteur sanitaire</v>
      </c>
      <c r="B1804" t="str">
        <v>Certificat de capacité à la médiation animale auprès des personnes âgées</v>
      </c>
      <c r="C1804" t="str">
        <v>Institut Français de Zoothérapie</v>
      </c>
      <c r="D1804" t="str">
        <f>HYPERLINK("https://inventaire.cncp.gouv.fr/fiches/3948/","3948")</f>
        <v>3948</v>
      </c>
      <c r="E1804" t="str">
        <f>HYPERLINK("http://www.intercariforef.org/formations/certification-104113.html","104113")</f>
        <v>104113</v>
      </c>
      <c r="F1804" s="1">
        <v>43398</v>
      </c>
      <c r="G1804" s="1">
        <v>43398</v>
      </c>
    </row>
    <row r="1805">
      <c r="A1805" t="str">
        <v>Santé, secteur sanitaire</v>
      </c>
      <c r="B1805" t="str">
        <v>Certificat d'enseignement médical de niveau I</v>
      </c>
      <c r="C1805" t="str">
        <v>Ministère de la transition écologique et solidaire</v>
      </c>
      <c r="D1805" t="str">
        <f>HYPERLINK("https://inventaire.cncp.gouv.fr/fiches/622/","622")</f>
        <v>622</v>
      </c>
      <c r="E1805" t="str">
        <f>HYPERLINK("http://www.intercariforef.org/formations/certification-84398.html","84398")</f>
        <v>84398</v>
      </c>
      <c r="F1805" s="1">
        <v>42109</v>
      </c>
      <c r="G1805" s="1">
        <v>43111</v>
      </c>
    </row>
    <row r="1806">
      <c r="A1806" t="str">
        <v>Santé, secteur sanitaire</v>
      </c>
      <c r="B1806" t="str">
        <v>Certificat d'enseignement médical de niveau II</v>
      </c>
      <c r="C1806" t="str">
        <v>Ministère de la transition écologique et solidaire</v>
      </c>
      <c r="D1806" t="str">
        <f>HYPERLINK("https://inventaire.cncp.gouv.fr/fiches/630/","630")</f>
        <v>630</v>
      </c>
      <c r="E1806" t="str">
        <f>HYPERLINK("http://www.intercariforef.org/formations/certification-84399.html","84399")</f>
        <v>84399</v>
      </c>
      <c r="F1806" s="1">
        <v>42109</v>
      </c>
      <c r="G1806" s="1">
        <v>43111</v>
      </c>
    </row>
    <row r="1807">
      <c r="A1807" t="str">
        <v>Santé, secteur sanitaire</v>
      </c>
      <c r="B1807" t="str">
        <v>Certificat d'enseignement médical de niveau III</v>
      </c>
      <c r="C1807" t="str">
        <v>Ministère de la transition écologique et solidaire</v>
      </c>
      <c r="D1807" t="str">
        <f>HYPERLINK("https://inventaire.cncp.gouv.fr/fiches/633/","633")</f>
        <v>633</v>
      </c>
      <c r="E1807" t="str">
        <f>HYPERLINK("http://www.intercariforef.org/formations/certification-84400.html","84400")</f>
        <v>84400</v>
      </c>
      <c r="F1807" s="1">
        <v>42109</v>
      </c>
      <c r="G1807" s="1">
        <v>43111</v>
      </c>
    </row>
    <row r="1808" ht="26.2" customHeight="1">
      <c r="A1808" t="str">
        <v>Santé, secteur sanitaire</v>
      </c>
      <c r="B1808" t="str">
        <v>Certification accompagnement de personnes atteintes de la maladie d'Alzheimer ou de troubles apparentés à domicile (ESA, SSIAD, SPASAD)</v>
      </c>
      <c r="C1808" t="str">
        <v>Fondation Mederic Alzheimer</v>
      </c>
      <c r="D1808" t="str">
        <f>HYPERLINK("https://inventaire.cncp.gouv.fr/fiches/3188/","3188")</f>
        <v>3188</v>
      </c>
      <c r="E1808" t="str">
        <f>HYPERLINK("http://www.intercariforef.org/formations/certification-99203.html","99203")</f>
        <v>99203</v>
      </c>
      <c r="F1808" s="1">
        <v>43076</v>
      </c>
      <c r="G1808" s="1">
        <v>43076</v>
      </c>
    </row>
    <row r="1809" ht="26.2" customHeight="1">
      <c r="A1809" t="str">
        <v>Santé, secteur sanitaire</v>
      </c>
      <c r="B1809" t="str">
        <v>Certification accompagnement de personnes atteintes de la maladie d'Alzheimer ou de troubles apparentés à l'hôpital (SLD, UCC, UHR, SSR Alzheimer)</v>
      </c>
      <c r="C1809" t="str">
        <v>Fondation Mederic Alzheimer</v>
      </c>
      <c r="D1809" t="str">
        <f>HYPERLINK("https://inventaire.cncp.gouv.fr/fiches/3193/","3193")</f>
        <v>3193</v>
      </c>
      <c r="E1809" t="str">
        <f>HYPERLINK("http://www.intercariforef.org/formations/certification-99197.html","99197")</f>
        <v>99197</v>
      </c>
      <c r="F1809" s="1">
        <v>43076</v>
      </c>
      <c r="G1809" s="1">
        <v>43076</v>
      </c>
    </row>
    <row r="1810" ht="26.2" customHeight="1">
      <c r="A1810" t="str">
        <v>Santé, secteur sanitaire</v>
      </c>
      <c r="B1810" t="str">
        <v>Certification accompagnement de personnes atteintes de la maladie d'Alzheimer ou de troubles apparentés en EHPAD</v>
      </c>
      <c r="C1810" t="str">
        <v>Fondation Mederic Alzheimer</v>
      </c>
      <c r="D1810" t="str">
        <f>HYPERLINK("https://inventaire.cncp.gouv.fr/fiches/3192/","3192")</f>
        <v>3192</v>
      </c>
      <c r="E1810" t="str">
        <f>HYPERLINK("http://www.intercariforef.org/formations/certification-99199.html","99199")</f>
        <v>99199</v>
      </c>
      <c r="F1810" s="1">
        <v>43076</v>
      </c>
      <c r="G1810" s="1">
        <v>43076</v>
      </c>
    </row>
    <row r="1811" ht="26.2" customHeight="1">
      <c r="A1811" t="str">
        <v>Santé, secteur sanitaire</v>
      </c>
      <c r="B1811" t="str">
        <v>Certification accompagnement de personnes atteintes de la maladie d'Alzheimer ou de troubles apparentés en unité spécifique (PASA, Accueil de jour, Unité Spécifique Alzheimer)</v>
      </c>
      <c r="C1811" t="str">
        <v>Fondation Mederic Alzheimer</v>
      </c>
      <c r="D1811" t="str">
        <f>HYPERLINK("https://inventaire.cncp.gouv.fr/fiches/3191/","3191")</f>
        <v>3191</v>
      </c>
      <c r="E1811" t="str">
        <f>HYPERLINK("http://www.intercariforef.org/formations/certification-99201.html","99201")</f>
        <v>99201</v>
      </c>
      <c r="F1811" s="1">
        <v>43076</v>
      </c>
      <c r="G1811" s="1">
        <v>43076</v>
      </c>
    </row>
    <row r="1812">
      <c r="A1812" t="str">
        <v>Santé, secteur sanitaire</v>
      </c>
      <c r="B1812" t="str">
        <v>Certification gestion des risques qualité dans les industries de santé</v>
      </c>
      <c r="C1812" t="str">
        <v>Centre de formation pour l'industrie et la recherche appliquée</v>
      </c>
      <c r="D1812" t="str">
        <f>HYPERLINK("https://inventaire.cncp.gouv.fr/fiches/1998/","1998")</f>
        <v>1998</v>
      </c>
      <c r="E1812" t="str">
        <f>HYPERLINK("http://www.intercariforef.org/formations/certification-89169.html","89169")</f>
        <v>89169</v>
      </c>
      <c r="F1812" s="1">
        <v>42521</v>
      </c>
      <c r="G1812" s="1">
        <v>42521</v>
      </c>
    </row>
    <row r="1813" ht="26.2" customHeight="1">
      <c r="A1813" t="str">
        <v>Santé, secteur sanitaire</v>
      </c>
      <c r="B1813" t="str">
        <v>DU épuration extra-rénale / hémodialyse</v>
      </c>
      <c r="C1813" t="str">
        <v>Ministère de l'enseignement supérieur, de la recherche et de l'innovation, Université de technologie de Compiègne (UTC)</v>
      </c>
      <c r="D1813" t="str">
        <f>HYPERLINK("https://inventaire.cncp.gouv.fr/fiches/2260/","2260")</f>
        <v>2260</v>
      </c>
      <c r="E1813" t="str">
        <f>HYPERLINK("http://www.intercariforef.org/formations/certification-92081.html","92081")</f>
        <v>92081</v>
      </c>
      <c r="F1813" s="1">
        <v>42667</v>
      </c>
      <c r="G1813" s="1">
        <v>43125</v>
      </c>
    </row>
    <row r="1814">
      <c r="A1814" t="str">
        <v>Santé, secteur sanitaire</v>
      </c>
      <c r="B1814" t="str">
        <v>DU systèmes d'information et logistiques hospitaliers</v>
      </c>
      <c r="C1814" t="str">
        <v>Université de technologie de Troyes (UTT)</v>
      </c>
      <c r="D1814" t="str">
        <f>HYPERLINK("https://inventaire.cncp.gouv.fr/fiches/2727/","2727")</f>
        <v>2727</v>
      </c>
      <c r="E1814" t="str">
        <f>HYPERLINK("http://www.intercariforef.org/formations/certification-94817.html","94817")</f>
        <v>94817</v>
      </c>
      <c r="F1814" s="1">
        <v>42836</v>
      </c>
      <c r="G1814" s="1">
        <v>42836</v>
      </c>
    </row>
    <row r="1815">
      <c r="A1815" t="str">
        <v>Santé, secteur sanitaire</v>
      </c>
      <c r="B1815" t="str">
        <v>Formation des intervenants dans les programmes d'éducation thérapeutique</v>
      </c>
      <c r="C1815" t="str">
        <v>Université Paul Sabatier - Toulouse 3</v>
      </c>
      <c r="D1815" t="str">
        <f>HYPERLINK("https://inventaire.cncp.gouv.fr/fiches/2392/","2392")</f>
        <v>2392</v>
      </c>
      <c r="E1815" t="str">
        <f>HYPERLINK("http://www.intercariforef.org/formations/certification-92143.html","92143")</f>
        <v>92143</v>
      </c>
      <c r="F1815" s="1">
        <v>42667</v>
      </c>
      <c r="G1815" s="1">
        <v>42667</v>
      </c>
    </row>
    <row r="1816">
      <c r="A1816" t="str">
        <v>Santé, secteur sanitaire</v>
      </c>
      <c r="B1816" t="str">
        <v>Le Passeport Gériatrique : accompagnement et soins de la personne âgée</v>
      </c>
      <c r="C1816" t="str">
        <v>Formadep - Korian Academy</v>
      </c>
      <c r="D1816" t="str">
        <f>HYPERLINK("https://inventaire.cncp.gouv.fr/fiches/3360/","3360")</f>
        <v>3360</v>
      </c>
      <c r="E1816" t="str">
        <f>HYPERLINK("http://www.intercariforef.org/formations/certification-100035.html","100035")</f>
        <v>100035</v>
      </c>
      <c r="F1816" s="1">
        <v>43152</v>
      </c>
      <c r="G1816" s="1">
        <v>43152</v>
      </c>
    </row>
    <row r="1817">
      <c r="A1817" t="str">
        <v>Santé, secteur sanitaire</v>
      </c>
      <c r="B1817" t="str">
        <v>Référent "Accompagnateur de Fin de Vie"</v>
      </c>
      <c r="C1817" t="str">
        <v>Chambres de commerce et d'industrie (CCI), Institut de formation pharmacie-santé</v>
      </c>
      <c r="D1817" t="str">
        <f>HYPERLINK("https://inventaire.cncp.gouv.fr/fiches/2383/","2383")</f>
        <v>2383</v>
      </c>
      <c r="E1817" t="str">
        <f>HYPERLINK("http://www.intercariforef.org/formations/certification-92073.html","92073")</f>
        <v>92073</v>
      </c>
      <c r="F1817" s="1">
        <v>42667</v>
      </c>
      <c r="G1817" s="1">
        <v>42667</v>
      </c>
    </row>
    <row r="1818">
      <c r="A1818" t="str">
        <v>Santé, secteur sanitaire</v>
      </c>
      <c r="B1818" t="str">
        <v>Transport de sang et produits dérivés</v>
      </c>
      <c r="C1818" t="str">
        <v>Acquis Pro</v>
      </c>
      <c r="D1818" t="str">
        <f>HYPERLINK("https://inventaire.cncp.gouv.fr/fiches/3256/","3256")</f>
        <v>3256</v>
      </c>
      <c r="E1818" t="str">
        <f>HYPERLINK("http://www.intercariforef.org/formations/certification-100713.html","100713")</f>
        <v>100713</v>
      </c>
      <c r="F1818" s="1">
        <v>43199</v>
      </c>
      <c r="G1818" s="1">
        <v>43199</v>
      </c>
    </row>
    <row r="1819">
      <c r="A1819" t="str">
        <v>Science politique</v>
      </c>
      <c r="B1819" t="str">
        <v>Certificat de développement culturel des territoires</v>
      </c>
      <c r="C1819" t="str">
        <v>Observatoire des politiques culturelles</v>
      </c>
      <c r="D1819" t="str">
        <f>HYPERLINK("https://inventaire.cncp.gouv.fr/fiches/2406/","2406")</f>
        <v>2406</v>
      </c>
      <c r="E1819" t="str">
        <f>HYPERLINK("http://www.intercariforef.org/formations/certification-92067.html","92067")</f>
        <v>92067</v>
      </c>
      <c r="F1819" s="1">
        <v>42667</v>
      </c>
      <c r="G1819" s="1">
        <v>42667</v>
      </c>
    </row>
    <row r="1820">
      <c r="A1820" t="str">
        <v>Science politique</v>
      </c>
      <c r="B1820" t="str">
        <v>Certificat de développement de projets culture et jeunesse</v>
      </c>
      <c r="C1820" t="str">
        <v>Observatoire des politiques culturelles</v>
      </c>
      <c r="D1820" t="str">
        <f>HYPERLINK("https://inventaire.cncp.gouv.fr/fiches/3289/","3289")</f>
        <v>3289</v>
      </c>
      <c r="E1820" t="str">
        <f>HYPERLINK("http://www.intercariforef.org/formations/certification-100089.html","100089")</f>
        <v>100089</v>
      </c>
      <c r="F1820" s="1">
        <v>43152</v>
      </c>
      <c r="G1820" s="1">
        <v>43152</v>
      </c>
    </row>
    <row r="1821">
      <c r="A1821" t="str">
        <v>Science politique</v>
      </c>
      <c r="B1821" t="str">
        <v>Certificat de développement des cultures numériques</v>
      </c>
      <c r="C1821" t="str">
        <v>Observatoire des politiques culturelles</v>
      </c>
      <c r="D1821" t="str">
        <f>HYPERLINK("https://inventaire.cncp.gouv.fr/fiches/2407/","2407")</f>
        <v>2407</v>
      </c>
      <c r="E1821" t="str">
        <f>HYPERLINK("http://www.intercariforef.org/formations/certification-92065.html","92065")</f>
        <v>92065</v>
      </c>
      <c r="F1821" s="1">
        <v>42667</v>
      </c>
      <c r="G1821" s="1">
        <v>42718</v>
      </c>
    </row>
    <row r="1822">
      <c r="A1822" t="str">
        <v>Science politique</v>
      </c>
      <c r="B1822" t="str">
        <v>Construire un projet européen à dimension culturelle</v>
      </c>
      <c r="C1822" t="str">
        <v>Centre européen des examens de la fédération européenne des écoles</v>
      </c>
      <c r="D1822" t="str">
        <f>HYPERLINK("https://inventaire.cncp.gouv.fr/fiches/3420/","3420")</f>
        <v>3420</v>
      </c>
      <c r="E1822" t="str">
        <f>HYPERLINK("http://www.intercariforef.org/formations/certification-100551.html","100551")</f>
        <v>100551</v>
      </c>
      <c r="F1822" s="1">
        <v>43188</v>
      </c>
      <c r="G1822" s="1">
        <v>43188</v>
      </c>
    </row>
    <row r="1823" ht="26.2" customHeight="1">
      <c r="A1823" t="str">
        <v>Science politique</v>
      </c>
      <c r="B1823" t="str">
        <v>Cycle des Hautes Etudes pour le Développement Economique (CHEDE)</v>
      </c>
      <c r="C1823" t="str">
        <v>Ministère de l'économie et des finances, Institut de la gestion publique et du développement économique</v>
      </c>
      <c r="D1823" t="str">
        <f>HYPERLINK("https://inventaire.cncp.gouv.fr/fiches/3821/","3821")</f>
        <v>3821</v>
      </c>
      <c r="E1823" t="str">
        <f>HYPERLINK("http://www.intercariforef.org/formations/certification-102137.html","102137")</f>
        <v>102137</v>
      </c>
      <c r="F1823" s="1">
        <v>43293</v>
      </c>
      <c r="G1823" s="1">
        <v>43293</v>
      </c>
    </row>
    <row r="1824">
      <c r="A1824" t="str">
        <v>Science politique</v>
      </c>
      <c r="B1824" t="str">
        <v>Maîtrise des enjeux et gestion des risques à l'international</v>
      </c>
      <c r="C1824" t="str">
        <v>Institut FMES</v>
      </c>
      <c r="D1824" t="str">
        <f>HYPERLINK("https://inventaire.cncp.gouv.fr/fiches/3378/","3378")</f>
        <v>3378</v>
      </c>
      <c r="E1824" t="str">
        <f>HYPERLINK("http://www.intercariforef.org/formations/certification-100705.html","100705")</f>
        <v>100705</v>
      </c>
      <c r="F1824" s="1">
        <v>43199</v>
      </c>
      <c r="G1824" s="1">
        <v>43199</v>
      </c>
    </row>
    <row r="1825">
      <c r="A1825" t="str">
        <v>Sciences de la terre</v>
      </c>
      <c r="B1825" t="str">
        <v>ArcGIS for Desktop - Associate</v>
      </c>
      <c r="C1825" t="str">
        <v>Esri France</v>
      </c>
      <c r="D1825" t="str">
        <f>HYPERLINK("https://inventaire.cncp.gouv.fr/fiches/2457/","2457")</f>
        <v>2457</v>
      </c>
      <c r="E1825" t="str">
        <f>HYPERLINK("http://www.intercariforef.org/formations/certification-93847.html","93847")</f>
        <v>93847</v>
      </c>
      <c r="F1825" s="1">
        <v>42744</v>
      </c>
      <c r="G1825" s="1">
        <v>42744</v>
      </c>
    </row>
    <row r="1826">
      <c r="A1826" t="str">
        <v>Sciences humaines</v>
      </c>
      <c r="B1826" t="str">
        <v>Accompagnement individuel et collectif par l'approche systémique</v>
      </c>
      <c r="C1826" t="str">
        <v>Elantiel</v>
      </c>
      <c r="D1826" t="str">
        <f>HYPERLINK("https://inventaire.cncp.gouv.fr/fiches/1926/","1926")</f>
        <v>1926</v>
      </c>
      <c r="E1826" t="str">
        <f>HYPERLINK("http://www.intercariforef.org/formations/certification-90063.html","90063")</f>
        <v>90063</v>
      </c>
      <c r="F1826" s="1">
        <v>42558</v>
      </c>
      <c r="G1826" s="1">
        <v>42718</v>
      </c>
    </row>
    <row r="1827" ht="91.65000000000002" customHeight="1">
      <c r="A1827" t="str">
        <v>Sciences humaines</v>
      </c>
      <c r="B1827" t="str">
        <v>Formation civile et civique</v>
      </c>
      <c r="C1827" t="str">
        <v>Centre universitaire de formation et de recherche de Mayotte, Facultés libres de l'Ouest, Institut catholique de Lille, Institut catholique de Lyon, Institut catholique de Paris, Institut catholique de Toulouse, Institut d'études politiques (Sciences Po) d'Aix-en-Provence / Université d'Aix-Marseille, Université de Bordeaux, Université de La Réunion, Université de Lorraine, Université de Montpellier, Université de Nantes, Université de Strasbourg, Université Jean Moulin - Lyon 3, Université Lille 2 droit et santé, Université Nice Sophia Antipolis, Université Panthéon Sorbonne - Paris 1, Université Paris-Sud - Paris 11, Université Rennes 1, Université Toulouse 1 Capitole</v>
      </c>
      <c r="D1827" t="str">
        <f>HYPERLINK("https://inventaire.cncp.gouv.fr/fiches/3551/","3551")</f>
        <v>3551</v>
      </c>
      <c r="E1827" t="str">
        <f>HYPERLINK("http://www.intercariforef.org/formations/certification-102757.html","102757")</f>
        <v>102757</v>
      </c>
      <c r="F1827" s="1">
        <v>43333</v>
      </c>
      <c r="G1827" s="1">
        <v>43333</v>
      </c>
    </row>
    <row r="1828">
      <c r="A1828" t="str">
        <v>Sciences humaines</v>
      </c>
      <c r="B1828" t="str">
        <v>Référent cybersécurité en TPE/PME</v>
      </c>
      <c r="C1828" t="str">
        <v>CCI France - Assemblée des chambres françaises de commerce et d'industrie</v>
      </c>
      <c r="D1828" t="str">
        <f>HYPERLINK("https://inventaire.cncp.gouv.fr/fiches/3818/","3818")</f>
        <v>3818</v>
      </c>
      <c r="E1828" t="str">
        <f>HYPERLINK("http://www.intercariforef.org/formations/certification-102155.html","102155")</f>
        <v>102155</v>
      </c>
      <c r="F1828" s="1">
        <v>43293</v>
      </c>
      <c r="G1828" s="1">
        <v>43293</v>
      </c>
    </row>
    <row r="1829">
      <c r="A1829" t="str">
        <v>Sciences humaines</v>
      </c>
      <c r="B1829" t="str">
        <v>Traiter une problématique éthique</v>
      </c>
      <c r="C1829" t="str">
        <v>InnovENT-E</v>
      </c>
      <c r="D1829" t="str">
        <f>HYPERLINK("https://inventaire.cncp.gouv.fr/fiches/2516/","2516")</f>
        <v>2516</v>
      </c>
      <c r="E1829" t="str">
        <f>HYPERLINK("http://www.intercariforef.org/formations/certification-94823.html","94823")</f>
        <v>94823</v>
      </c>
      <c r="F1829" s="1">
        <v>42836</v>
      </c>
      <c r="G1829" s="1">
        <v>42836</v>
      </c>
    </row>
    <row r="1830">
      <c r="A1830" t="str">
        <v>Services divers</v>
      </c>
      <c r="B1830" t="str">
        <v>Airbrush</v>
      </c>
      <c r="C1830" t="str">
        <v>Make up for ever academy</v>
      </c>
      <c r="D1830" t="str">
        <f>HYPERLINK("https://inventaire.cncp.gouv.fr/fiches/3775/","3775")</f>
        <v>3775</v>
      </c>
      <c r="E1830" t="str">
        <f>HYPERLINK("http://www.intercariforef.org/formations/certification-102675.html","102675")</f>
        <v>102675</v>
      </c>
      <c r="F1830" s="1">
        <v>43301</v>
      </c>
      <c r="G1830" s="1">
        <v>43301</v>
      </c>
    </row>
    <row r="1831">
      <c r="A1831" t="str">
        <v>Services divers</v>
      </c>
      <c r="B1831" t="str">
        <v>Beauty basics 1</v>
      </c>
      <c r="C1831" t="str">
        <v>Make up for ever academy</v>
      </c>
      <c r="D1831" t="str">
        <f>HYPERLINK("https://inventaire.cncp.gouv.fr/fiches/3749/","3749")</f>
        <v>3749</v>
      </c>
      <c r="E1831" t="str">
        <f>HYPERLINK("http://www.intercariforef.org/formations/certification-102679.html","102679")</f>
        <v>102679</v>
      </c>
      <c r="F1831" s="1">
        <v>43301</v>
      </c>
      <c r="G1831" s="1">
        <v>43301</v>
      </c>
    </row>
    <row r="1832">
      <c r="A1832" t="str">
        <v>Services divers</v>
      </c>
      <c r="B1832" t="str">
        <v>Beauty basics 2</v>
      </c>
      <c r="C1832" t="str">
        <v>Make up for ever academy</v>
      </c>
      <c r="D1832" t="str">
        <f>HYPERLINK("https://inventaire.cncp.gouv.fr/fiches/3773/","3773")</f>
        <v>3773</v>
      </c>
      <c r="E1832" t="str">
        <f>HYPERLINK("http://www.intercariforef.org/formations/certification-102677.html","102677")</f>
        <v>102677</v>
      </c>
      <c r="F1832" s="1">
        <v>43301</v>
      </c>
      <c r="G1832" s="1">
        <v>43301</v>
      </c>
    </row>
    <row r="1833">
      <c r="A1833" t="str">
        <v>Services divers</v>
      </c>
      <c r="B1833" t="str">
        <v>Black Beauty</v>
      </c>
      <c r="C1833" t="str">
        <v>Make up for ever academy</v>
      </c>
      <c r="D1833" t="str">
        <f>HYPERLINK("https://inventaire.cncp.gouv.fr/fiches/3779/","3779")</f>
        <v>3779</v>
      </c>
      <c r="E1833" t="str">
        <f>HYPERLINK("http://www.intercariforef.org/formations/certification-102669.html","102669")</f>
        <v>102669</v>
      </c>
      <c r="F1833" s="1">
        <v>43301</v>
      </c>
      <c r="G1833" s="1">
        <v>43301</v>
      </c>
    </row>
    <row r="1834">
      <c r="A1834" t="str">
        <v>Services divers</v>
      </c>
      <c r="B1834" t="str">
        <v>Blessures et patines</v>
      </c>
      <c r="C1834" t="str">
        <v>Make up for ever academy</v>
      </c>
      <c r="D1834" t="str">
        <f>HYPERLINK("https://inventaire.cncp.gouv.fr/fiches/3776/","3776")</f>
        <v>3776</v>
      </c>
      <c r="E1834" t="str">
        <f>HYPERLINK("http://www.intercariforef.org/formations/certification-102673.html","102673")</f>
        <v>102673</v>
      </c>
      <c r="F1834" s="1">
        <v>43301</v>
      </c>
      <c r="G1834" s="1">
        <v>43301</v>
      </c>
    </row>
    <row r="1835">
      <c r="A1835" t="str">
        <v>Services divers</v>
      </c>
      <c r="B1835" t="str">
        <v>Certificat de prothésiste ongulaire</v>
      </c>
      <c r="C1835" t="str">
        <v>Student Nails Academy</v>
      </c>
      <c r="D1835" t="str">
        <f>HYPERLINK("https://inventaire.cncp.gouv.fr/fiches/3490/","3490")</f>
        <v>3490</v>
      </c>
      <c r="E1835" t="str">
        <f>HYPERLINK("http://www.intercariforef.org/formations/certification-100723.html","100723")</f>
        <v>100723</v>
      </c>
      <c r="F1835" s="1">
        <v>43200</v>
      </c>
      <c r="G1835" s="1">
        <v>43200</v>
      </c>
    </row>
    <row r="1836">
      <c r="A1836" t="str">
        <v>Services divers</v>
      </c>
      <c r="B1836" t="str">
        <v>Certificat prévention secours propreté agent de service (CPS Propreté Agent de service)</v>
      </c>
      <c r="C1836" t="str">
        <v>CPNE de la propreté</v>
      </c>
      <c r="D1836" t="str">
        <f>HYPERLINK("https://inventaire.cncp.gouv.fr/fiches/1452/","1452")</f>
        <v>1452</v>
      </c>
      <c r="E1836" t="str">
        <f>HYPERLINK("http://www.intercariforef.org/formations/certification-86401.html","86401")</f>
        <v>86401</v>
      </c>
      <c r="F1836" s="1">
        <v>42340</v>
      </c>
      <c r="G1836" s="1">
        <v>42979</v>
      </c>
    </row>
    <row r="1837">
      <c r="A1837" t="str">
        <v>Services divers</v>
      </c>
      <c r="B1837" t="str">
        <v>Certificat prévention secours propreté chef d'équipe (CPS Propreté Chef d'équipe)</v>
      </c>
      <c r="C1837" t="str">
        <v>CPNE de la propreté</v>
      </c>
      <c r="D1837" t="str">
        <f>HYPERLINK("https://inventaire.cncp.gouv.fr/fiches/1456/","1456")</f>
        <v>1456</v>
      </c>
      <c r="E1837" t="str">
        <f>HYPERLINK("http://www.intercariforef.org/formations/certification-86400.html","86400")</f>
        <v>86400</v>
      </c>
      <c r="F1837" s="1">
        <v>42340</v>
      </c>
      <c r="G1837" s="1">
        <v>42979</v>
      </c>
    </row>
    <row r="1838">
      <c r="A1838" t="str">
        <v>Services divers</v>
      </c>
      <c r="B1838" t="str">
        <v>Certificat stylisme ongulaire</v>
      </c>
      <c r="C1838" t="str">
        <v>Centre de formation des pieds des mains</v>
      </c>
      <c r="D1838" t="str">
        <f>HYPERLINK("https://inventaire.cncp.gouv.fr/fiches/3292/","3292")</f>
        <v>3292</v>
      </c>
      <c r="E1838" t="str">
        <f>HYPERLINK("http://www.intercariforef.org/formations/certification-100555.html","100555")</f>
        <v>100555</v>
      </c>
      <c r="F1838" s="1">
        <v>43188</v>
      </c>
      <c r="G1838" s="1">
        <v>43188</v>
      </c>
    </row>
    <row r="1839">
      <c r="A1839" t="str">
        <v>Services divers</v>
      </c>
      <c r="B1839" t="str">
        <v>Coiffures et attaches</v>
      </c>
      <c r="C1839" t="str">
        <v>Toupie MakeUp</v>
      </c>
      <c r="D1839" t="str">
        <f>HYPERLINK("https://inventaire.cncp.gouv.fr/fiches/2592/","2592")</f>
        <v>2592</v>
      </c>
      <c r="E1839" t="str">
        <f>HYPERLINK("http://www.intercariforef.org/formations/certification-94899.html","94899")</f>
        <v>94899</v>
      </c>
      <c r="F1839" s="1">
        <v>42836</v>
      </c>
      <c r="G1839" s="1">
        <v>42836</v>
      </c>
    </row>
    <row r="1840">
      <c r="A1840" t="str">
        <v>Services divers</v>
      </c>
      <c r="B1840" t="str">
        <v>Dermopigmentation</v>
      </c>
      <c r="C1840" t="str">
        <v>Styliderm</v>
      </c>
      <c r="D1840" t="str">
        <f>HYPERLINK("https://inventaire.cncp.gouv.fr/fiches/3334/","3334")</f>
        <v>3334</v>
      </c>
      <c r="E1840" t="str">
        <f>HYPERLINK("http://www.intercariforef.org/formations/certification-100553.html","100553")</f>
        <v>100553</v>
      </c>
      <c r="F1840" s="1">
        <v>43188</v>
      </c>
      <c r="G1840" s="1">
        <v>43188</v>
      </c>
    </row>
    <row r="1841">
      <c r="A1841" t="str">
        <v>Services divers</v>
      </c>
      <c r="B1841" t="str">
        <v>DIE en Apidologie et Pathologie Apicole</v>
      </c>
      <c r="C1841" t="str">
        <v>Ecole nationale vétérinaire, agroalimentaire et de l'alimentation, Nantes-Atlantique (ONIRIS)</v>
      </c>
      <c r="D1841" t="str">
        <f>HYPERLINK("https://inventaire.cncp.gouv.fr/fiches/2613/","2613")</f>
        <v>2613</v>
      </c>
      <c r="E1841" t="str">
        <f>HYPERLINK("http://www.intercariforef.org/formations/certification-96437.html","96437")</f>
        <v>96437</v>
      </c>
      <c r="F1841" s="1">
        <v>42923</v>
      </c>
      <c r="G1841" s="1">
        <v>42923</v>
      </c>
    </row>
    <row r="1842" ht="26.2" customHeight="1">
      <c r="A1842" t="str">
        <v>Services divers</v>
      </c>
      <c r="B1842" t="str">
        <v>Formation destinée aux personnes concevant ou réalisant des procédures expérimentales chirurgicales</v>
      </c>
      <c r="C1842" t="str">
        <v>Directions départementales de la protection des populations (DDPP)</v>
      </c>
      <c r="D1842" t="str">
        <f>HYPERLINK("https://inventaire.cncp.gouv.fr/fiches/2466/","2466")</f>
        <v>2466</v>
      </c>
      <c r="E1842" t="str">
        <f>HYPERLINK("http://www.intercariforef.org/formations/certification-93855.html","93855")</f>
        <v>93855</v>
      </c>
      <c r="F1842" s="1">
        <v>42744</v>
      </c>
      <c r="G1842" s="1">
        <v>42744</v>
      </c>
    </row>
    <row r="1843" ht="26.2" customHeight="1">
      <c r="A1843" t="str">
        <v>Services divers</v>
      </c>
      <c r="B1843" t="str">
        <v>Formation nécessaire aux personnes exerçant des activités liées aux animaux de compagnie d'espèces domestiques</v>
      </c>
      <c r="C1843" t="str">
        <v>Ministère de l'agriculture et de l'alimentation</v>
      </c>
      <c r="D1843" t="str">
        <f>HYPERLINK("https://inventaire.cncp.gouv.fr/fiches/2626/","2626")</f>
        <v>2626</v>
      </c>
      <c r="E1843" t="str">
        <f>HYPERLINK("http://www.intercariforef.org/formations/certification-94511.html","94511")</f>
        <v>94511</v>
      </c>
      <c r="F1843" s="1">
        <v>42802</v>
      </c>
      <c r="G1843" s="1">
        <v>43111</v>
      </c>
    </row>
    <row r="1844" ht="26.2" customHeight="1">
      <c r="A1844" t="str">
        <v>Services divers</v>
      </c>
      <c r="B1844" t="str">
        <v>Formation pour les personnels appliquant des procédures expérimentales aux animaux - Praticiens</v>
      </c>
      <c r="C1844" t="str">
        <v>Ministère de l'agriculture et de l'alimentation</v>
      </c>
      <c r="D1844" t="str">
        <f>HYPERLINK("https://inventaire.cncp.gouv.fr/fiches/2416/","2416")</f>
        <v>2416</v>
      </c>
      <c r="E1844" t="str">
        <f>HYPERLINK("http://www.intercariforef.org/formations/certification-94149.html","94149")</f>
        <v>94149</v>
      </c>
      <c r="F1844" s="1">
        <v>42772</v>
      </c>
      <c r="G1844" s="1">
        <v>43111</v>
      </c>
    </row>
    <row r="1845" ht="26.2" customHeight="1">
      <c r="A1845" t="str">
        <v>Services divers</v>
      </c>
      <c r="B1845" t="str">
        <v>Formation pour les personnels assurant les soins aux animaux - soins aux animaux d'expérimentation</v>
      </c>
      <c r="C1845" t="str">
        <v>Ministère de l'agriculture et de l'alimentation, Ecole nationale vétérinaire, agroalimentaire et de l'alimentation, Nantes-Atlantique (ONIRIS)</v>
      </c>
      <c r="D1845" t="str">
        <f>HYPERLINK("https://inventaire.cncp.gouv.fr/fiches/2417/","2417")</f>
        <v>2417</v>
      </c>
      <c r="E1845" t="str">
        <f>HYPERLINK("http://www.intercariforef.org/formations/certification-94025.html","94025")</f>
        <v>94025</v>
      </c>
      <c r="F1845" s="1">
        <v>42747</v>
      </c>
      <c r="G1845" s="1">
        <v>43111</v>
      </c>
    </row>
    <row r="1846" ht="26.2" customHeight="1">
      <c r="A1846" t="str">
        <v>Services divers</v>
      </c>
      <c r="B1846" t="str">
        <v>Formation pour les personnels concevant des procédures expérimentales et des projets - Concepteurs</v>
      </c>
      <c r="C1846" t="str">
        <v>Ministère de l'agriculture et de l'alimentation</v>
      </c>
      <c r="D1846" t="str">
        <f>HYPERLINK("https://inventaire.cncp.gouv.fr/fiches/2409/","2409")</f>
        <v>2409</v>
      </c>
      <c r="E1846" t="str">
        <f>HYPERLINK("http://www.intercariforef.org/formations/certification-94151.html","94151")</f>
        <v>94151</v>
      </c>
      <c r="F1846" s="1">
        <v>42772</v>
      </c>
      <c r="G1846" s="1">
        <v>43111</v>
      </c>
    </row>
    <row r="1847">
      <c r="A1847" t="str">
        <v>Services divers</v>
      </c>
      <c r="B1847" t="str">
        <v>Formation préalable à l'obtention de l'habilitation sanitaire</v>
      </c>
      <c r="C1847" t="str">
        <v>Ministère de l'agriculture et de l'alimentation</v>
      </c>
      <c r="D1847" t="str">
        <f>HYPERLINK("https://inventaire.cncp.gouv.fr/fiches/2659/","2659")</f>
        <v>2659</v>
      </c>
      <c r="E1847" t="str">
        <f>HYPERLINK("http://www.intercariforef.org/formations/certification-82314.html","82314")</f>
        <v>82314</v>
      </c>
      <c r="F1847" s="1">
        <v>41613</v>
      </c>
      <c r="G1847" s="1">
        <v>43111</v>
      </c>
    </row>
    <row r="1848">
      <c r="A1848" t="str">
        <v>Services divers</v>
      </c>
      <c r="B1848" t="str">
        <v>Habilitation hygiène et salubrité</v>
      </c>
      <c r="C1848" t="str">
        <v>Ecole internationale de maquillage permanent</v>
      </c>
      <c r="D1848" t="str">
        <f>HYPERLINK("https://inventaire.cncp.gouv.fr/fiches/2523/","2523")</f>
        <v>2523</v>
      </c>
      <c r="E1848" t="str">
        <f>HYPERLINK("http://www.intercariforef.org/formations/certification-94749.html","94749")</f>
        <v>94749</v>
      </c>
      <c r="F1848" s="1">
        <v>42828</v>
      </c>
      <c r="G1848" s="1">
        <v>42828</v>
      </c>
    </row>
    <row r="1849">
      <c r="A1849" t="str">
        <v>Services divers</v>
      </c>
      <c r="B1849" t="str">
        <v>Les clefs de la mise en beauté</v>
      </c>
      <c r="C1849" t="str">
        <v>Beauté Partner</v>
      </c>
      <c r="D1849" t="str">
        <f>HYPERLINK("https://inventaire.cncp.gouv.fr/fiches/3363/","3363")</f>
        <v>3363</v>
      </c>
      <c r="E1849" t="str">
        <f>HYPERLINK("http://www.intercariforef.org/formations/certification-100617.html","100617")</f>
        <v>100617</v>
      </c>
      <c r="F1849" s="1">
        <v>43193</v>
      </c>
      <c r="G1849" s="1">
        <v>43193</v>
      </c>
    </row>
    <row r="1850">
      <c r="A1850" t="str">
        <v>Services divers</v>
      </c>
      <c r="B1850" t="str">
        <v>Maîtrise des Compétences Clés de la Propreté (MCCP)</v>
      </c>
      <c r="C1850" t="str">
        <v>CPNE de la propreté</v>
      </c>
      <c r="D1850" t="str">
        <f>HYPERLINK("https://inventaire.cncp.gouv.fr/fiches/127/","127")</f>
        <v>127</v>
      </c>
      <c r="E1850" t="str">
        <f>HYPERLINK("http://www.intercariforef.org/formations/certification-84698.html","84698")</f>
        <v>84698</v>
      </c>
      <c r="F1850" s="1">
        <v>42156</v>
      </c>
      <c r="G1850" s="1">
        <v>42718</v>
      </c>
    </row>
    <row r="1851">
      <c r="A1851" t="str">
        <v>Services divers</v>
      </c>
      <c r="B1851" t="str">
        <v>Makeup no-makeup</v>
      </c>
      <c r="C1851" t="str">
        <v>Make up for ever academy</v>
      </c>
      <c r="D1851" t="str">
        <f>HYPERLINK("https://inventaire.cncp.gouv.fr/fiches/3780/","3780")</f>
        <v>3780</v>
      </c>
      <c r="E1851" t="str">
        <f>HYPERLINK("http://www.intercariforef.org/formations/certification-102667.html","102667")</f>
        <v>102667</v>
      </c>
      <c r="F1851" s="1">
        <v>43301</v>
      </c>
      <c r="G1851" s="1">
        <v>43301</v>
      </c>
    </row>
    <row r="1852">
      <c r="A1852" t="str">
        <v>Services divers</v>
      </c>
      <c r="B1852" t="str">
        <v>Maquillage enfant</v>
      </c>
      <c r="C1852" t="str">
        <v>Toupie MakeUp</v>
      </c>
      <c r="D1852" t="str">
        <f>HYPERLINK("https://inventaire.cncp.gouv.fr/fiches/2598/","2598")</f>
        <v>2598</v>
      </c>
      <c r="E1852" t="str">
        <f>HYPERLINK("http://www.intercariforef.org/formations/certification-94895.html","94895")</f>
        <v>94895</v>
      </c>
      <c r="F1852" s="1">
        <v>42836</v>
      </c>
      <c r="G1852" s="1">
        <v>42836</v>
      </c>
    </row>
    <row r="1853">
      <c r="A1853" t="str">
        <v>Services divers</v>
      </c>
      <c r="B1853" t="str">
        <v>Maquillage HD, UHD OU 4K</v>
      </c>
      <c r="C1853" t="str">
        <v>Toupie MakeUp</v>
      </c>
      <c r="D1853" t="str">
        <f>HYPERLINK("https://inventaire.cncp.gouv.fr/fiches/2591/","2591")</f>
        <v>2591</v>
      </c>
      <c r="E1853" t="str">
        <f>HYPERLINK("http://www.intercariforef.org/formations/certification-94901.html","94901")</f>
        <v>94901</v>
      </c>
      <c r="F1853" s="1">
        <v>42836</v>
      </c>
      <c r="G1853" s="1">
        <v>42836</v>
      </c>
    </row>
    <row r="1854">
      <c r="A1854" t="str">
        <v>Services divers</v>
      </c>
      <c r="B1854" t="str">
        <v>Maquillage mariée</v>
      </c>
      <c r="C1854" t="str">
        <v>Make up for ever academy</v>
      </c>
      <c r="D1854" t="str">
        <f>HYPERLINK("https://inventaire.cncp.gouv.fr/fiches/3782/","3782")</f>
        <v>3782</v>
      </c>
      <c r="E1854" t="str">
        <f>HYPERLINK("http://www.intercariforef.org/formations/certification-102665.html","102665")</f>
        <v>102665</v>
      </c>
      <c r="F1854" s="1">
        <v>43301</v>
      </c>
      <c r="G1854" s="1">
        <v>43301</v>
      </c>
    </row>
    <row r="1855">
      <c r="A1855" t="str">
        <v>Services divers</v>
      </c>
      <c r="B1855" t="str">
        <v>Maquillage naturel, maquillage sophistiqué</v>
      </c>
      <c r="C1855" t="str">
        <v>Toupie MakeUp</v>
      </c>
      <c r="D1855" t="str">
        <f>HYPERLINK("https://inventaire.cncp.gouv.fr/fiches/2570/","2570")</f>
        <v>2570</v>
      </c>
      <c r="E1855" t="str">
        <f>HYPERLINK("http://www.intercariforef.org/formations/certification-94905.html","94905")</f>
        <v>94905</v>
      </c>
      <c r="F1855" s="1">
        <v>42836</v>
      </c>
      <c r="G1855" s="1">
        <v>42836</v>
      </c>
    </row>
    <row r="1856">
      <c r="A1856" t="str">
        <v>Services divers</v>
      </c>
      <c r="B1856" t="str">
        <v>Oriental Beauty</v>
      </c>
      <c r="C1856" t="str">
        <v>Make up for ever academy</v>
      </c>
      <c r="D1856" t="str">
        <f>HYPERLINK("https://inventaire.cncp.gouv.fr/fiches/3784/","3784")</f>
        <v>3784</v>
      </c>
      <c r="E1856" t="str">
        <f>HYPERLINK("http://www.intercariforef.org/formations/certification-102663.html","102663")</f>
        <v>102663</v>
      </c>
      <c r="F1856" s="1">
        <v>43301</v>
      </c>
      <c r="G1856" s="1">
        <v>43301</v>
      </c>
    </row>
    <row r="1857">
      <c r="A1857" t="str">
        <v>Services divers</v>
      </c>
      <c r="B1857" t="str">
        <v>Postiches</v>
      </c>
      <c r="C1857" t="str">
        <v>Make up for ever academy</v>
      </c>
      <c r="D1857" t="str">
        <f>HYPERLINK("https://inventaire.cncp.gouv.fr/fiches/3777/","3777")</f>
        <v>3777</v>
      </c>
      <c r="E1857" t="str">
        <f>HYPERLINK("http://www.intercariforef.org/formations/certification-102671.html","102671")</f>
        <v>102671</v>
      </c>
      <c r="F1857" s="1">
        <v>43301</v>
      </c>
      <c r="G1857" s="1">
        <v>43301</v>
      </c>
    </row>
    <row r="1858">
      <c r="A1858" t="str">
        <v>Services divers</v>
      </c>
      <c r="B1858" t="str">
        <v>Spécialisation chignons</v>
      </c>
      <c r="C1858" t="str">
        <v>Toupie MakeUp</v>
      </c>
      <c r="D1858" t="str">
        <f>HYPERLINK("https://inventaire.cncp.gouv.fr/fiches/2593/","2593")</f>
        <v>2593</v>
      </c>
      <c r="E1858" t="str">
        <f>HYPERLINK("http://www.intercariforef.org/formations/certification-94897.html","94897")</f>
        <v>94897</v>
      </c>
      <c r="F1858" s="1">
        <v>42836</v>
      </c>
      <c r="G1858" s="1">
        <v>42836</v>
      </c>
    </row>
    <row r="1859">
      <c r="A1859" t="str">
        <v>Services divers</v>
      </c>
      <c r="B1859" t="str">
        <v>Taille et entretien de la barbe</v>
      </c>
      <c r="C1859" t="str">
        <v>Toupie MakeUp</v>
      </c>
      <c r="D1859" t="str">
        <f>HYPERLINK("https://inventaire.cncp.gouv.fr/fiches/2601/","2601")</f>
        <v>2601</v>
      </c>
      <c r="E1859" t="str">
        <f>HYPERLINK("http://www.intercariforef.org/formations/certification-94893.html","94893")</f>
        <v>94893</v>
      </c>
      <c r="F1859" s="1">
        <v>42836</v>
      </c>
      <c r="G1859" s="1">
        <v>42836</v>
      </c>
    </row>
    <row r="1860">
      <c r="A1860" t="str">
        <v>Télécommunication</v>
      </c>
      <c r="B1860" t="str">
        <v>Audiovisuel sur IP</v>
      </c>
      <c r="C1860" t="str">
        <v>Institut national de l'audiovisuel (INA)</v>
      </c>
      <c r="D1860" t="str">
        <f>HYPERLINK("https://inventaire.cncp.gouv.fr/fiches/2777/","2777")</f>
        <v>2777</v>
      </c>
      <c r="E1860" t="str">
        <f>HYPERLINK("http://www.intercariforef.org/formations/certification-95641.html","95641")</f>
        <v>95641</v>
      </c>
      <c r="F1860" s="1">
        <v>42893</v>
      </c>
      <c r="G1860" s="1">
        <v>42893</v>
      </c>
    </row>
    <row r="1861">
      <c r="A1861" t="str">
        <v>Télécommunication</v>
      </c>
      <c r="B1861" t="str">
        <v>CCTT "Certified Cabling Test Technician" Copper &amp;Fiber FLUKE Networks</v>
      </c>
      <c r="C1861" t="str">
        <v>AFEIR communications</v>
      </c>
      <c r="D1861" t="str">
        <f>HYPERLINK("https://inventaire.cncp.gouv.fr/fiches/540/","540")</f>
        <v>540</v>
      </c>
      <c r="E1861" t="str">
        <f>HYPERLINK("http://www.intercariforef.org/formations/certification-84853.html","84853")</f>
        <v>84853</v>
      </c>
      <c r="F1861" s="1">
        <v>42177</v>
      </c>
      <c r="G1861" s="1">
        <v>42177</v>
      </c>
    </row>
    <row r="1862">
      <c r="A1862" t="str">
        <v>Télécommunication</v>
      </c>
      <c r="B1862" t="str">
        <v>Certification Cisco CCDA - Cisco Certified Design Associate</v>
      </c>
      <c r="C1862" t="str">
        <v>Cisco Systems</v>
      </c>
      <c r="D1862" t="str">
        <f>HYPERLINK("https://inventaire.cncp.gouv.fr/fiches/612/","612")</f>
        <v>612</v>
      </c>
      <c r="E1862" t="str">
        <f>HYPERLINK("http://www.intercariforef.org/formations/certification-84875.html","84875")</f>
        <v>84875</v>
      </c>
      <c r="F1862" s="1">
        <v>42177</v>
      </c>
      <c r="G1862" s="1">
        <v>42177</v>
      </c>
    </row>
    <row r="1863">
      <c r="A1863" t="str">
        <v>Télécommunication</v>
      </c>
      <c r="B1863" t="str">
        <v>Certification Cisco CCDP - Cisco Certified Design Professional</v>
      </c>
      <c r="C1863" t="str">
        <v>Cisco Systems</v>
      </c>
      <c r="D1863" t="str">
        <f>HYPERLINK("https://inventaire.cncp.gouv.fr/fiches/613/","613")</f>
        <v>613</v>
      </c>
      <c r="E1863" t="str">
        <f>HYPERLINK("http://www.intercariforef.org/formations/certification-84881.html","84881")</f>
        <v>84881</v>
      </c>
      <c r="F1863" s="1">
        <v>42177</v>
      </c>
      <c r="G1863" s="1">
        <v>42177</v>
      </c>
    </row>
    <row r="1864">
      <c r="A1864" t="str">
        <v>Télécommunication</v>
      </c>
      <c r="B1864" t="str">
        <v>Certification Cisco CCENT - Cisco Certified Entry Network Technician</v>
      </c>
      <c r="C1864" t="str">
        <v>Cisco Systems</v>
      </c>
      <c r="D1864" t="str">
        <f>HYPERLINK("https://inventaire.cncp.gouv.fr/fiches/334/","334")</f>
        <v>334</v>
      </c>
      <c r="E1864" t="str">
        <f>HYPERLINK("http://www.intercariforef.org/formations/certification-84882.html","84882")</f>
        <v>84882</v>
      </c>
      <c r="F1864" s="1">
        <v>42177</v>
      </c>
      <c r="G1864" s="1">
        <v>42177</v>
      </c>
    </row>
    <row r="1865">
      <c r="A1865" t="str">
        <v>Télécommunication</v>
      </c>
      <c r="B1865" t="str">
        <v>Certification Cisco CCNA Collaboration - Cisco Certified Network Associate</v>
      </c>
      <c r="C1865" t="str">
        <v>Cisco Systems</v>
      </c>
      <c r="D1865" t="str">
        <f>HYPERLINK("https://inventaire.cncp.gouv.fr/fiches/337/","337")</f>
        <v>337</v>
      </c>
      <c r="E1865" t="str">
        <f>HYPERLINK("http://www.intercariforef.org/formations/certification-84892.html","84892")</f>
        <v>84892</v>
      </c>
      <c r="F1865" s="1">
        <v>42177</v>
      </c>
      <c r="G1865" s="1">
        <v>42177</v>
      </c>
    </row>
    <row r="1866">
      <c r="A1866" t="str">
        <v>Télécommunication</v>
      </c>
      <c r="B1866" t="str">
        <v>Certification Cisco CCNA Datacenter - Cisco Certified Network Associate</v>
      </c>
      <c r="C1866" t="str">
        <v>Cisco Systems</v>
      </c>
      <c r="D1866" t="str">
        <f>HYPERLINK("https://inventaire.cncp.gouv.fr/fiches/336/","336")</f>
        <v>336</v>
      </c>
      <c r="E1866" t="str">
        <f>HYPERLINK("http://www.intercariforef.org/formations/certification-84883.html","84883")</f>
        <v>84883</v>
      </c>
      <c r="F1866" s="1">
        <v>42177</v>
      </c>
      <c r="G1866" s="1">
        <v>42177</v>
      </c>
    </row>
    <row r="1867">
      <c r="A1867" t="str">
        <v>Télécommunication</v>
      </c>
      <c r="B1867" t="str">
        <v>Certification Cisco CCNA Routing &amp; Switching (R&amp;S) - Cisco Certified Network Associate</v>
      </c>
      <c r="C1867" t="str">
        <v>Cisco Systems</v>
      </c>
      <c r="D1867" t="str">
        <f>HYPERLINK("https://inventaire.cncp.gouv.fr/fiches/4024/","4024")</f>
        <v>4024</v>
      </c>
      <c r="E1867" t="str">
        <f>HYPERLINK("http://www.intercariforef.org/formations/certification-84464.html","84464")</f>
        <v>84464</v>
      </c>
      <c r="F1867" s="1">
        <v>42109</v>
      </c>
      <c r="G1867" s="1">
        <v>43349</v>
      </c>
    </row>
    <row r="1868">
      <c r="A1868" t="str">
        <v>Télécommunication</v>
      </c>
      <c r="B1868" t="str">
        <v>Certification Cisco CCNA Security - Cisco Certified Network Associate</v>
      </c>
      <c r="C1868" t="str">
        <v>Cisco Systems</v>
      </c>
      <c r="D1868" t="str">
        <f>HYPERLINK("https://inventaire.cncp.gouv.fr/fiches/349/","349")</f>
        <v>349</v>
      </c>
      <c r="E1868" t="str">
        <f>HYPERLINK("http://www.intercariforef.org/formations/certification-84893.html","84893")</f>
        <v>84893</v>
      </c>
      <c r="F1868" s="1">
        <v>42177</v>
      </c>
      <c r="G1868" s="1">
        <v>42177</v>
      </c>
    </row>
    <row r="1869">
      <c r="A1869" t="str">
        <v>Télécommunication</v>
      </c>
      <c r="B1869" t="str">
        <v>Certification Cisco CCNA Service Provider - Cisco Certified Network Associate</v>
      </c>
      <c r="C1869" t="str">
        <v>Cisco Systems</v>
      </c>
      <c r="D1869" t="str">
        <f>HYPERLINK("https://inventaire.cncp.gouv.fr/fiches/382/","382")</f>
        <v>382</v>
      </c>
      <c r="E1869" t="str">
        <f>HYPERLINK("http://www.intercariforef.org/formations/certification-84894.html","84894")</f>
        <v>84894</v>
      </c>
      <c r="F1869" s="1">
        <v>42177</v>
      </c>
      <c r="G1869" s="1">
        <v>42177</v>
      </c>
    </row>
    <row r="1870">
      <c r="A1870" t="str">
        <v>Télécommunication</v>
      </c>
      <c r="B1870" t="str">
        <v>Certification Cisco CCNA Wireless - Cisco Certified Network Associate</v>
      </c>
      <c r="C1870" t="str">
        <v>Cisco Systems</v>
      </c>
      <c r="D1870" t="str">
        <f>HYPERLINK("https://inventaire.cncp.gouv.fr/fiches/350/","350")</f>
        <v>350</v>
      </c>
      <c r="E1870" t="str">
        <f>HYPERLINK("http://www.intercariforef.org/formations/certification-84901.html","84901")</f>
        <v>84901</v>
      </c>
      <c r="F1870" s="1">
        <v>42178</v>
      </c>
      <c r="G1870" s="1">
        <v>42178</v>
      </c>
    </row>
    <row r="1871">
      <c r="A1871" t="str">
        <v>Télécommunication</v>
      </c>
      <c r="B1871" t="str">
        <v>Certification Cisco CCNP Collaboration - Cisco Certified Network Professional</v>
      </c>
      <c r="C1871" t="str">
        <v>Cisco Systems</v>
      </c>
      <c r="D1871" t="str">
        <f>HYPERLINK("https://inventaire.cncp.gouv.fr/fiches/614/","614")</f>
        <v>614</v>
      </c>
      <c r="E1871" t="str">
        <f>HYPERLINK("http://www.intercariforef.org/formations/certification-84902.html","84902")</f>
        <v>84902</v>
      </c>
      <c r="F1871" s="1">
        <v>42178</v>
      </c>
      <c r="G1871" s="1">
        <v>42178</v>
      </c>
    </row>
    <row r="1872">
      <c r="A1872" t="str">
        <v>Télécommunication</v>
      </c>
      <c r="B1872" t="str">
        <v>Certification Cisco CCNP DataCenter - Cisco Certified Network Professional</v>
      </c>
      <c r="C1872" t="str">
        <v>Cisco Systems</v>
      </c>
      <c r="D1872" t="str">
        <f>HYPERLINK("https://inventaire.cncp.gouv.fr/fiches/678/","678")</f>
        <v>678</v>
      </c>
      <c r="E1872" t="str">
        <f>HYPERLINK("http://www.intercariforef.org/formations/certification-84903.html","84903")</f>
        <v>84903</v>
      </c>
      <c r="F1872" s="1">
        <v>42178</v>
      </c>
      <c r="G1872" s="1">
        <v>42178</v>
      </c>
    </row>
    <row r="1873">
      <c r="A1873" t="str">
        <v>Télécommunication</v>
      </c>
      <c r="B1873" t="str">
        <v>Certification Cisco CCNP Routing &amp; Switching (R&amp;S) - Cisco Certified Network Professional</v>
      </c>
      <c r="C1873" t="str">
        <v>Cisco Systems</v>
      </c>
      <c r="D1873" t="str">
        <f>HYPERLINK("https://inventaire.cncp.gouv.fr/fiches/4025/","4025")</f>
        <v>4025</v>
      </c>
      <c r="E1873" t="str">
        <f>HYPERLINK("http://www.intercariforef.org/formations/certification-84481.html","84481")</f>
        <v>84481</v>
      </c>
      <c r="F1873" s="1">
        <v>42109</v>
      </c>
      <c r="G1873" s="1">
        <v>43349</v>
      </c>
    </row>
    <row r="1874">
      <c r="A1874" t="str">
        <v>Télécommunication</v>
      </c>
      <c r="B1874" t="str">
        <v>Certification Cisco CCNP Security - Cisco Certified Network Professional</v>
      </c>
      <c r="C1874" t="str">
        <v>Cisco Systems</v>
      </c>
      <c r="D1874" t="str">
        <f>HYPERLINK("https://inventaire.cncp.gouv.fr/fiches/579/","579")</f>
        <v>579</v>
      </c>
      <c r="E1874" t="str">
        <f>HYPERLINK("http://www.intercariforef.org/formations/certification-84904.html","84904")</f>
        <v>84904</v>
      </c>
      <c r="F1874" s="1">
        <v>42178</v>
      </c>
      <c r="G1874" s="1">
        <v>42178</v>
      </c>
    </row>
    <row r="1875">
      <c r="A1875" t="str">
        <v>Télécommunication</v>
      </c>
      <c r="B1875" t="str">
        <v>Certification Cisco CCNP Service Provider - Cisco Certified Network Professional</v>
      </c>
      <c r="C1875" t="str">
        <v>Cisco Systems</v>
      </c>
      <c r="D1875" t="str">
        <f>HYPERLINK("https://inventaire.cncp.gouv.fr/fiches/616/","616")</f>
        <v>616</v>
      </c>
      <c r="E1875" t="str">
        <f>HYPERLINK("http://www.intercariforef.org/formations/certification-84931.html","84931")</f>
        <v>84931</v>
      </c>
      <c r="F1875" s="1">
        <v>42178</v>
      </c>
      <c r="G1875" s="1">
        <v>42178</v>
      </c>
    </row>
    <row r="1876">
      <c r="A1876" t="str">
        <v>Télécommunication</v>
      </c>
      <c r="B1876" t="str">
        <v>Certification Cisco CCNP Wireless - Cisco Certified Network Professional</v>
      </c>
      <c r="C1876" t="str">
        <v>Cisco Systems</v>
      </c>
      <c r="D1876" t="str">
        <f>HYPERLINK("https://inventaire.cncp.gouv.fr/fiches/615/","615")</f>
        <v>615</v>
      </c>
      <c r="E1876" t="str">
        <f>HYPERLINK("http://www.intercariforef.org/formations/certification-84932.html","84932")</f>
        <v>84932</v>
      </c>
      <c r="F1876" s="1">
        <v>42178</v>
      </c>
      <c r="G1876" s="1">
        <v>42178</v>
      </c>
    </row>
    <row r="1877">
      <c r="A1877" t="str">
        <v>Télécommunication</v>
      </c>
      <c r="B1877" t="str">
        <v>Certification Citrix CCA-M - Citrix Certified Associate Mobility</v>
      </c>
      <c r="C1877" t="str">
        <v>Citrix</v>
      </c>
      <c r="D1877" t="str">
        <f>HYPERLINK("https://inventaire.cncp.gouv.fr/fiches/574/","574")</f>
        <v>574</v>
      </c>
      <c r="E1877" t="str">
        <f>HYPERLINK("http://www.intercariforef.org/formations/certification-84936.html","84936")</f>
        <v>84936</v>
      </c>
      <c r="F1877" s="1">
        <v>42178</v>
      </c>
      <c r="G1877" s="1">
        <v>42178</v>
      </c>
    </row>
    <row r="1878">
      <c r="A1878" t="str">
        <v>Télécommunication</v>
      </c>
      <c r="B1878" t="str">
        <v>Certification Citrix CCA-N - Citrix Certified Associate Networking</v>
      </c>
      <c r="C1878" t="str">
        <v>Citrix</v>
      </c>
      <c r="D1878" t="str">
        <f>HYPERLINK("https://inventaire.cncp.gouv.fr/fiches/575/","575")</f>
        <v>575</v>
      </c>
      <c r="E1878" t="str">
        <f>HYPERLINK("http://www.intercariforef.org/formations/certification-84978.html","84978")</f>
        <v>84978</v>
      </c>
      <c r="F1878" s="1">
        <v>42178</v>
      </c>
      <c r="G1878" s="1">
        <v>42178</v>
      </c>
    </row>
    <row r="1879">
      <c r="A1879" t="str">
        <v>Télécommunication</v>
      </c>
      <c r="B1879" t="str">
        <v>Certification Citrix CCA-V - Citrix Certified ASSOCIATE Virtualization</v>
      </c>
      <c r="C1879" t="str">
        <v>Citrix</v>
      </c>
      <c r="D1879" t="str">
        <f>HYPERLINK("https://inventaire.cncp.gouv.fr/fiches/395/","395")</f>
        <v>395</v>
      </c>
      <c r="E1879" t="str">
        <f>HYPERLINK("http://www.intercariforef.org/formations/certification-84938.html","84938")</f>
        <v>84938</v>
      </c>
      <c r="F1879" s="1">
        <v>42178</v>
      </c>
      <c r="G1879" s="1">
        <v>42718</v>
      </c>
    </row>
    <row r="1880">
      <c r="A1880" t="str">
        <v>Télécommunication</v>
      </c>
      <c r="B1880" t="str">
        <v>Certification Citrix CCP-N - Citrix Certified Professional Networking</v>
      </c>
      <c r="C1880" t="str">
        <v>Citrix</v>
      </c>
      <c r="D1880" t="str">
        <f>HYPERLINK("https://inventaire.cncp.gouv.fr/fiches/576/","576")</f>
        <v>576</v>
      </c>
      <c r="E1880" t="str">
        <f>HYPERLINK("http://www.intercariforef.org/formations/certification-84941.html","84941")</f>
        <v>84941</v>
      </c>
      <c r="F1880" s="1">
        <v>42178</v>
      </c>
      <c r="G1880" s="1">
        <v>42178</v>
      </c>
    </row>
    <row r="1881">
      <c r="A1881" t="str">
        <v>Télécommunication</v>
      </c>
      <c r="B1881" t="str">
        <v>Certification Citrix CCP-V - Citrix Certified Professional Virtualization</v>
      </c>
      <c r="C1881" t="str">
        <v>Citrix</v>
      </c>
      <c r="D1881" t="str">
        <f>HYPERLINK("https://inventaire.cncp.gouv.fr/fiches/397/","397")</f>
        <v>397</v>
      </c>
      <c r="E1881" t="str">
        <f>HYPERLINK("http://www.intercariforef.org/formations/certification-84942.html","84942")</f>
        <v>84942</v>
      </c>
      <c r="F1881" s="1">
        <v>42178</v>
      </c>
      <c r="G1881" s="1">
        <v>42718</v>
      </c>
    </row>
    <row r="1882">
      <c r="A1882" t="str">
        <v>Télécommunication</v>
      </c>
      <c r="B1882" t="str">
        <v>Certification IT - Mise en oeuvre d'un réseau local TCP/IP</v>
      </c>
      <c r="C1882" t="str">
        <v>ENI Editions</v>
      </c>
      <c r="D1882" t="str">
        <f>HYPERLINK("https://inventaire.cncp.gouv.fr/fiches/2717/","2717")</f>
        <v>2717</v>
      </c>
      <c r="E1882" t="str">
        <f>HYPERLINK("http://www.intercariforef.org/formations/certification-95449.html","95449")</f>
        <v>95449</v>
      </c>
      <c r="F1882" s="1">
        <v>42884</v>
      </c>
      <c r="G1882" s="1">
        <v>42884</v>
      </c>
    </row>
    <row r="1883">
      <c r="A1883" t="str">
        <v>Télécommunication</v>
      </c>
      <c r="B1883" t="str">
        <v>Certified Stormshield Network Administrator (CSNA)</v>
      </c>
      <c r="C1883" t="str">
        <v>Stormshield</v>
      </c>
      <c r="D1883" t="str">
        <f>HYPERLINK("https://inventaire.cncp.gouv.fr/fiches/2870/","2870")</f>
        <v>2870</v>
      </c>
      <c r="E1883" t="str">
        <f>HYPERLINK("http://www.intercariforef.org/formations/certification-96559.html","96559")</f>
        <v>96559</v>
      </c>
      <c r="F1883" s="1">
        <v>42928</v>
      </c>
      <c r="G1883" s="1">
        <v>42928</v>
      </c>
    </row>
    <row r="1884">
      <c r="A1884" t="str">
        <v>Télécommunication</v>
      </c>
      <c r="B1884" t="str">
        <v>Certified Stormshield Network Expert (CSNE)</v>
      </c>
      <c r="C1884" t="str">
        <v>Stormshield</v>
      </c>
      <c r="D1884" t="str">
        <f>HYPERLINK("https://inventaire.cncp.gouv.fr/fiches/2871/","2871")</f>
        <v>2871</v>
      </c>
      <c r="E1884" t="str">
        <f>HYPERLINK("http://www.intercariforef.org/formations/certification-96557.html","96557")</f>
        <v>96557</v>
      </c>
      <c r="F1884" s="1">
        <v>42928</v>
      </c>
      <c r="G1884" s="1">
        <v>42928</v>
      </c>
    </row>
    <row r="1885">
      <c r="A1885" t="str">
        <v>Télécommunication</v>
      </c>
      <c r="B1885" t="str">
        <v>Certified Stormshield Network Troubleshooting and Support (CSNTS)</v>
      </c>
      <c r="C1885" t="str">
        <v>Stormshield</v>
      </c>
      <c r="D1885" t="str">
        <f>HYPERLINK("https://inventaire.cncp.gouv.fr/fiches/2873/","2873")</f>
        <v>2873</v>
      </c>
      <c r="E1885" t="str">
        <f>HYPERLINK("http://www.intercariforef.org/formations/certification-96555.html","96555")</f>
        <v>96555</v>
      </c>
      <c r="F1885" s="1">
        <v>42928</v>
      </c>
      <c r="G1885" s="1">
        <v>42928</v>
      </c>
    </row>
    <row r="1886">
      <c r="A1886" t="str">
        <v>Télécommunication</v>
      </c>
      <c r="B1886" t="str">
        <v>Concepteur d'un système d'Objets Connectés</v>
      </c>
      <c r="C1886" t="str">
        <v>Ecole polytechnique</v>
      </c>
      <c r="D1886" t="str">
        <f>HYPERLINK("https://inventaire.cncp.gouv.fr/fiches/1544/","1544")</f>
        <v>1544</v>
      </c>
      <c r="E1886" t="str">
        <f>HYPERLINK("http://www.intercariforef.org/formations/certification-87563.html","87563")</f>
        <v>87563</v>
      </c>
      <c r="F1886" s="1">
        <v>42412</v>
      </c>
      <c r="G1886" s="1">
        <v>42412</v>
      </c>
    </row>
    <row r="1887">
      <c r="A1887" t="str">
        <v>Télécommunication</v>
      </c>
      <c r="B1887" t="str">
        <v>Conception et architecture de services 4.0</v>
      </c>
      <c r="C1887" t="str">
        <v>Télécom ParisTech</v>
      </c>
      <c r="D1887" t="str">
        <f>HYPERLINK("https://inventaire.cncp.gouv.fr/fiches/3489/","3489")</f>
        <v>3489</v>
      </c>
      <c r="E1887" t="str">
        <f>HYPERLINK("http://www.intercariforef.org/formations/certification-100653.html","100653")</f>
        <v>100653</v>
      </c>
      <c r="F1887" s="1">
        <v>43194</v>
      </c>
      <c r="G1887" s="1">
        <v>43194</v>
      </c>
    </row>
    <row r="1888">
      <c r="A1888" t="str">
        <v>Télécommunication</v>
      </c>
      <c r="B1888" t="str">
        <v>Conception-urbanisation de salles informatiques - Data Center</v>
      </c>
      <c r="C1888" t="str">
        <v>Cella Consilium - Hoc Info</v>
      </c>
      <c r="D1888" t="str">
        <f>HYPERLINK("https://inventaire.cncp.gouv.fr/fiches/3635/","3635")</f>
        <v>3635</v>
      </c>
      <c r="E1888" t="str">
        <f>HYPERLINK("http://www.intercariforef.org/formations/certification-102521.html","102521")</f>
        <v>102521</v>
      </c>
      <c r="F1888" s="1">
        <v>43298</v>
      </c>
      <c r="G1888" s="1">
        <v>43298</v>
      </c>
    </row>
    <row r="1889">
      <c r="A1889" t="str">
        <v>Télécommunication</v>
      </c>
      <c r="B1889" t="str">
        <v>Gestion de projet déploiement LAN et Datacenter</v>
      </c>
      <c r="C1889" t="str">
        <v>Télécom ParisTech</v>
      </c>
      <c r="D1889" t="str">
        <f>HYPERLINK("https://inventaire.cncp.gouv.fr/fiches/3326/","3326")</f>
        <v>3326</v>
      </c>
      <c r="E1889" t="str">
        <f>HYPERLINK("http://www.intercariforef.org/formations/certification-100049.html","100049")</f>
        <v>100049</v>
      </c>
      <c r="F1889" s="1">
        <v>43152</v>
      </c>
      <c r="G1889" s="1">
        <v>43152</v>
      </c>
    </row>
    <row r="1890">
      <c r="A1890" t="str">
        <v>Télécommunication</v>
      </c>
      <c r="B1890" t="str">
        <v>HP ATP - FlexNetwork Solutions V3</v>
      </c>
      <c r="C1890" t="str">
        <v>Hewlett Packard Enterprise</v>
      </c>
      <c r="D1890" t="str">
        <f>HYPERLINK("https://inventaire.cncp.gouv.fr/fiches/1280/","1280")</f>
        <v>1280</v>
      </c>
      <c r="E1890" t="str">
        <f>HYPERLINK("http://www.intercariforef.org/formations/certification-87571.html","87571")</f>
        <v>87571</v>
      </c>
      <c r="F1890" s="1">
        <v>42412</v>
      </c>
      <c r="G1890" s="1">
        <v>42412</v>
      </c>
    </row>
    <row r="1891">
      <c r="A1891" t="str">
        <v>Télécommunication</v>
      </c>
      <c r="B1891" t="str">
        <v>HP ATP - Server Solutions V2</v>
      </c>
      <c r="C1891" t="str">
        <v>Hewlett Packard Enterprise</v>
      </c>
      <c r="D1891" t="str">
        <f>HYPERLINK("https://inventaire.cncp.gouv.fr/fiches/1129/","1129")</f>
        <v>1129</v>
      </c>
      <c r="E1891" t="str">
        <f>HYPERLINK("http://www.intercariforef.org/formations/certification-87573.html","87573")</f>
        <v>87573</v>
      </c>
      <c r="F1891" s="1">
        <v>42412</v>
      </c>
      <c r="G1891" s="1">
        <v>42412</v>
      </c>
    </row>
    <row r="1892">
      <c r="A1892" t="str">
        <v>Télécommunication</v>
      </c>
      <c r="B1892" t="str">
        <v>Ingénierie des réseaux mobiles</v>
      </c>
      <c r="C1892" t="str">
        <v>Télécom ParisTech</v>
      </c>
      <c r="D1892" t="str">
        <f>HYPERLINK("https://inventaire.cncp.gouv.fr/fiches/2437/","2437")</f>
        <v>2437</v>
      </c>
      <c r="E1892" t="str">
        <f>HYPERLINK("http://www.intercariforef.org/formations/certification-93821.html","93821")</f>
        <v>93821</v>
      </c>
      <c r="F1892" s="1">
        <v>42740</v>
      </c>
      <c r="G1892" s="1">
        <v>42740</v>
      </c>
    </row>
    <row r="1893">
      <c r="A1893" t="str">
        <v>Télécommunication</v>
      </c>
      <c r="B1893" t="str">
        <v>Installation et gestion d'un réseau informatique pour l'audiovisuel</v>
      </c>
      <c r="C1893" t="str">
        <v>Institut national de l'audiovisuel (INA)</v>
      </c>
      <c r="D1893" t="str">
        <f>HYPERLINK("https://inventaire.cncp.gouv.fr/fiches/2024/","2024")</f>
        <v>2024</v>
      </c>
      <c r="E1893" t="str">
        <f>HYPERLINK("http://www.intercariforef.org/formations/certification-90097.html","90097")</f>
        <v>90097</v>
      </c>
      <c r="F1893" s="1">
        <v>42562</v>
      </c>
      <c r="G1893" s="1">
        <v>42562</v>
      </c>
    </row>
    <row r="1894">
      <c r="A1894" t="str">
        <v>Télécommunication</v>
      </c>
      <c r="B1894" t="str">
        <v>Internet des objets (IoT), conception de solutions</v>
      </c>
      <c r="C1894" t="str">
        <v>Télécom SudParis, Télécom ParisTech</v>
      </c>
      <c r="D1894" t="str">
        <f>HYPERLINK("https://inventaire.cncp.gouv.fr/fiches/2668/","2668")</f>
        <v>2668</v>
      </c>
      <c r="E1894" t="str">
        <f>HYPERLINK("http://www.intercariforef.org/formations/certification-94845.html","94845")</f>
        <v>94845</v>
      </c>
      <c r="F1894" s="1">
        <v>42836</v>
      </c>
      <c r="G1894" s="1">
        <v>42836</v>
      </c>
    </row>
    <row r="1895" ht="26.2" customHeight="1">
      <c r="A1895" t="str">
        <v>Télécommunication</v>
      </c>
      <c r="B1895" t="str">
        <v>Mise en oeuvre de la sécurité numérique (DU)</v>
      </c>
      <c r="C1895" t="str">
        <v>Université de technologie de Troyes (UTT), Ecole pour l'informatique et les techniques avancées (EPITA)</v>
      </c>
      <c r="D1895" t="str">
        <f>HYPERLINK("https://inventaire.cncp.gouv.fr/fiches/3733/","3733")</f>
        <v>3733</v>
      </c>
      <c r="E1895" t="str">
        <f>HYPERLINK("http://www.intercariforef.org/formations/certification-102463.html","102463")</f>
        <v>102463</v>
      </c>
      <c r="F1895" s="1">
        <v>43298</v>
      </c>
      <c r="G1895" s="1">
        <v>43298</v>
      </c>
    </row>
    <row r="1896">
      <c r="A1896" t="str">
        <v>Télécommunication</v>
      </c>
      <c r="B1896" t="str">
        <v>Raccordement FTTH D3 et Aérien</v>
      </c>
      <c r="C1896" t="str">
        <v>AFEIR communications</v>
      </c>
      <c r="D1896" t="str">
        <f>HYPERLINK("https://inventaire.cncp.gouv.fr/fiches/3263/","3263")</f>
        <v>3263</v>
      </c>
      <c r="E1896" t="str">
        <f>HYPERLINK("http://www.intercariforef.org/formations/certification-101201.html","101201")</f>
        <v>101201</v>
      </c>
      <c r="F1896" s="1">
        <v>43250</v>
      </c>
      <c r="G1896" s="1">
        <v>43250</v>
      </c>
    </row>
    <row r="1897" ht="26.2" customHeight="1">
      <c r="A1897" t="str">
        <v>Tourisme</v>
      </c>
      <c r="B1897" t="str">
        <v>Certification professionnelle relation de service tourisme</v>
      </c>
      <c r="C1897" t="str">
        <v>Certidev, CPNE de la restauration commerciale libre-service (cafétérias), CPNE des casinos, CPNE des industries hôtelières</v>
      </c>
      <c r="D1897" t="str">
        <f>HYPERLINK("https://inventaire.cncp.gouv.fr/fiches/2627/","2627")</f>
        <v>2627</v>
      </c>
      <c r="E1897" t="str">
        <f>HYPERLINK("http://www.intercariforef.org/formations/certification-101219.html","101219")</f>
        <v>101219</v>
      </c>
      <c r="F1897" s="1">
        <v>43251</v>
      </c>
      <c r="G1897" s="1">
        <v>43251</v>
      </c>
    </row>
    <row r="1898">
      <c r="A1898" t="str">
        <v>Tourisme</v>
      </c>
      <c r="B1898" t="str">
        <v>Utilisation et maîtrise des fonctions du GDS Amadeus</v>
      </c>
      <c r="C1898" t="str">
        <v>Amadeus France</v>
      </c>
      <c r="D1898" t="str">
        <f>HYPERLINK("https://inventaire.cncp.gouv.fr/fiches/1990/","1990")</f>
        <v>1990</v>
      </c>
      <c r="E1898" t="str">
        <f>HYPERLINK("http://www.intercariforef.org/formations/certification-90147.html","90147")</f>
        <v>90147</v>
      </c>
      <c r="F1898" s="1">
        <v>42562</v>
      </c>
      <c r="G1898" s="1">
        <v>42562</v>
      </c>
    </row>
    <row r="1899">
      <c r="A1899" t="str">
        <v>Transport</v>
      </c>
      <c r="B1899" t="str">
        <v>11.4 Formation périodique imagerie</v>
      </c>
      <c r="C1899" t="str">
        <v>Direction générale de l'aviation civile</v>
      </c>
      <c r="D1899" t="str">
        <f>HYPERLINK("https://inventaire.cncp.gouv.fr/fiches/852/","852")</f>
        <v>852</v>
      </c>
      <c r="E1899" t="str">
        <f>HYPERLINK("http://www.intercariforef.org/formations/certification-85035.html","85035")</f>
        <v>85035</v>
      </c>
      <c r="F1899" s="1">
        <v>42185</v>
      </c>
      <c r="G1899" s="1">
        <v>42979</v>
      </c>
    </row>
    <row r="1900">
      <c r="A1900" t="str">
        <v>Transport</v>
      </c>
      <c r="B1900" t="str">
        <v>ADR - Conseiller à la sécurité - Transport de matières dangereuses</v>
      </c>
      <c r="C1900" t="str">
        <v>Ministère de la transition écologique et solidaire</v>
      </c>
      <c r="D1900" t="str">
        <f>HYPERLINK("https://inventaire.cncp.gouv.fr/fiches/2179/","2179")</f>
        <v>2179</v>
      </c>
      <c r="E1900" t="str">
        <f>HYPERLINK("http://www.intercariforef.org/formations/certification-84177.html","84177")</f>
        <v>84177</v>
      </c>
      <c r="F1900" s="1">
        <v>42058</v>
      </c>
      <c r="G1900" s="1">
        <v>43111</v>
      </c>
    </row>
    <row r="1901">
      <c r="A1901" t="str">
        <v>Transport</v>
      </c>
      <c r="B1901" t="str">
        <v>ADR - Formation conducteurs - Transport de matières dangereuses - Formation de base initiale</v>
      </c>
      <c r="C1901" t="str">
        <v>Ministère de la transition écologique et solidaire</v>
      </c>
      <c r="D1901" t="str">
        <f>HYPERLINK("https://inventaire.cncp.gouv.fr/fiches/1079/","1079")</f>
        <v>1079</v>
      </c>
      <c r="E1901" t="str">
        <f>HYPERLINK("http://www.intercariforef.org/formations/certification-85544.html","85544")</f>
        <v>85544</v>
      </c>
      <c r="F1901" s="1">
        <v>42269</v>
      </c>
      <c r="G1901" s="1">
        <v>43111</v>
      </c>
    </row>
    <row r="1902">
      <c r="A1902" t="str">
        <v>Transport</v>
      </c>
      <c r="B1902" t="str">
        <v>ADR - Formation conducteurs - Transport de matières dangereuses - Formation de base recyclage</v>
      </c>
      <c r="C1902" t="str">
        <v>Ministère de la transition écologique et solidaire</v>
      </c>
      <c r="D1902" t="str">
        <f>HYPERLINK("https://inventaire.cncp.gouv.fr/fiches/1080/","1080")</f>
        <v>1080</v>
      </c>
      <c r="E1902" t="str">
        <f>HYPERLINK("http://www.intercariforef.org/formations/certification-85547.html","85547")</f>
        <v>85547</v>
      </c>
      <c r="F1902" s="1">
        <v>42269</v>
      </c>
      <c r="G1902" s="1">
        <v>43111</v>
      </c>
    </row>
    <row r="1903" ht="26.2" customHeight="1">
      <c r="A1903" t="str">
        <v>Transport</v>
      </c>
      <c r="B1903" t="str">
        <v>ADR - Formation conducteurs - Transport de matières dangereuses - Spécialisation citernes initiale</v>
      </c>
      <c r="C1903" t="str">
        <v>Ministère de la transition écologique et solidaire</v>
      </c>
      <c r="D1903" t="str">
        <f>HYPERLINK("https://inventaire.cncp.gouv.fr/fiches/1083/","1083")</f>
        <v>1083</v>
      </c>
      <c r="E1903" t="str">
        <f>HYPERLINK("http://www.intercariforef.org/formations/certification-85552.html","85552")</f>
        <v>85552</v>
      </c>
      <c r="F1903" s="1">
        <v>42269</v>
      </c>
      <c r="G1903" s="1">
        <v>43111</v>
      </c>
    </row>
    <row r="1904" ht="26.2" customHeight="1">
      <c r="A1904" t="str">
        <v>Transport</v>
      </c>
      <c r="B1904" t="str">
        <v>ADR - Formation conducteurs - Transport de matières dangereuses - Spécialisation citernes recyclage</v>
      </c>
      <c r="C1904" t="str">
        <v>Ministère de la transition écologique et solidaire</v>
      </c>
      <c r="D1904" t="str">
        <f>HYPERLINK("https://inventaire.cncp.gouv.fr/fiches/1081/","1081")</f>
        <v>1081</v>
      </c>
      <c r="E1904" t="str">
        <f>HYPERLINK("http://www.intercariforef.org/formations/certification-85549.html","85549")</f>
        <v>85549</v>
      </c>
      <c r="F1904" s="1">
        <v>42269</v>
      </c>
      <c r="G1904" s="1">
        <v>43111</v>
      </c>
    </row>
    <row r="1905" ht="26.2" customHeight="1">
      <c r="A1905" t="str">
        <v>Transport</v>
      </c>
      <c r="B1905" t="str">
        <v>ADR - Formation conducteurs - Transport de matières dangereuses - Spécialisation citernes recyclage adaptée</v>
      </c>
      <c r="C1905" t="str">
        <v>Ministère de la transition écologique et solidaire</v>
      </c>
      <c r="D1905" t="str">
        <f>HYPERLINK("https://inventaire.cncp.gouv.fr/fiches/1082/","1082")</f>
        <v>1082</v>
      </c>
      <c r="E1905" t="str">
        <f>HYPERLINK("http://www.intercariforef.org/formations/certification-85550.html","85550")</f>
        <v>85550</v>
      </c>
      <c r="F1905" s="1">
        <v>42269</v>
      </c>
      <c r="G1905" s="1">
        <v>43111</v>
      </c>
    </row>
    <row r="1906" ht="26.2" customHeight="1">
      <c r="A1906" t="str">
        <v>Transport</v>
      </c>
      <c r="B1906" t="str">
        <v>ADR - Formation conducteurs - Transport de matières dangereuses - Spécialisation citernes restreinte GPL initiale</v>
      </c>
      <c r="C1906" t="str">
        <v>Ministère de la transition écologique et solidaire</v>
      </c>
      <c r="D1906" t="str">
        <f>HYPERLINK("https://inventaire.cncp.gouv.fr/fiches/1087/","1087")</f>
        <v>1087</v>
      </c>
      <c r="E1906" t="str">
        <f>HYPERLINK("http://www.intercariforef.org/formations/certification-85554.html","85554")</f>
        <v>85554</v>
      </c>
      <c r="F1906" s="1">
        <v>42269</v>
      </c>
      <c r="G1906" s="1">
        <v>43111</v>
      </c>
    </row>
    <row r="1907" ht="26.2" customHeight="1">
      <c r="A1907" t="str">
        <v>Transport</v>
      </c>
      <c r="B1907" t="str">
        <v>ADR - Formation conducteurs - Transport de matières dangereuses - Spécialisation citernes restreinte GPL recyclage</v>
      </c>
      <c r="C1907" t="str">
        <v>Ministère de la transition écologique et solidaire</v>
      </c>
      <c r="D1907" t="str">
        <f>HYPERLINK("https://inventaire.cncp.gouv.fr/fiches/1086/","1086")</f>
        <v>1086</v>
      </c>
      <c r="E1907" t="str">
        <f>HYPERLINK("http://www.intercariforef.org/formations/certification-85555.html","85555")</f>
        <v>85555</v>
      </c>
      <c r="F1907" s="1">
        <v>42269</v>
      </c>
      <c r="G1907" s="1">
        <v>43111</v>
      </c>
    </row>
    <row r="1908" ht="26.2" customHeight="1">
      <c r="A1908" t="str">
        <v>Transport</v>
      </c>
      <c r="B1908" t="str">
        <v>ADR - Formation conducteurs - Transport de matières dangereuses - Spécialisation citernes restreinte produits pétroliers initiale</v>
      </c>
      <c r="C1908" t="str">
        <v>Ministère de la transition écologique et solidaire</v>
      </c>
      <c r="D1908" t="str">
        <f>HYPERLINK("https://inventaire.cncp.gouv.fr/fiches/1084/","1084")</f>
        <v>1084</v>
      </c>
      <c r="E1908" t="str">
        <f>HYPERLINK("http://www.intercariforef.org/formations/certification-85558.html","85558")</f>
        <v>85558</v>
      </c>
      <c r="F1908" s="1">
        <v>42269</v>
      </c>
      <c r="G1908" s="1">
        <v>43111</v>
      </c>
    </row>
    <row r="1909" ht="26.2" customHeight="1">
      <c r="A1909" t="str">
        <v>Transport</v>
      </c>
      <c r="B1909" t="str">
        <v>ADR - Formation conducteurs - Transport de matières dangereuses - Spécialisation citernes restreinte produits pétroliers recyclage</v>
      </c>
      <c r="C1909" t="str">
        <v>Ministère de la transition écologique et solidaire</v>
      </c>
      <c r="D1909" t="str">
        <f>HYPERLINK("https://inventaire.cncp.gouv.fr/fiches/1085/","1085")</f>
        <v>1085</v>
      </c>
      <c r="E1909" t="str">
        <f>HYPERLINK("http://www.intercariforef.org/formations/certification-85561.html","85561")</f>
        <v>85561</v>
      </c>
      <c r="F1909" s="1">
        <v>42269</v>
      </c>
      <c r="G1909" s="1">
        <v>43111</v>
      </c>
    </row>
    <row r="1910" ht="26.2" customHeight="1">
      <c r="A1910" t="str">
        <v>Transport</v>
      </c>
      <c r="B1910" t="str">
        <v>ADR - Formation conducteurs - Transport de matières dangereuses - Spécialisation classe 1 initiale</v>
      </c>
      <c r="C1910" t="str">
        <v>Ministère de la transition écologique et solidaire</v>
      </c>
      <c r="D1910" t="str">
        <f>HYPERLINK("https://inventaire.cncp.gouv.fr/fiches/1088/","1088")</f>
        <v>1088</v>
      </c>
      <c r="E1910" t="str">
        <f>HYPERLINK("http://www.intercariforef.org/formations/certification-85564.html","85564")</f>
        <v>85564</v>
      </c>
      <c r="F1910" s="1">
        <v>42269</v>
      </c>
      <c r="G1910" s="1">
        <v>43111</v>
      </c>
    </row>
    <row r="1911" ht="26.2" customHeight="1">
      <c r="A1911" t="str">
        <v>Transport</v>
      </c>
      <c r="B1911" t="str">
        <v>ADR - Formation conducteurs - Transport de matières dangereuses - Spécialisation classe 1 recyclage</v>
      </c>
      <c r="C1911" t="str">
        <v>Ministère de la transition écologique et solidaire</v>
      </c>
      <c r="D1911" t="str">
        <f>HYPERLINK("https://inventaire.cncp.gouv.fr/fiches/1089/","1089")</f>
        <v>1089</v>
      </c>
      <c r="E1911" t="str">
        <f>HYPERLINK("http://www.intercariforef.org/formations/certification-85562.html","85562")</f>
        <v>85562</v>
      </c>
      <c r="F1911" s="1">
        <v>42269</v>
      </c>
      <c r="G1911" s="1">
        <v>43111</v>
      </c>
    </row>
    <row r="1912">
      <c r="A1912" t="str">
        <v>Transport</v>
      </c>
      <c r="B1912" t="str">
        <v>ADR - Formation conducteurs - Transport de matières dangereuses - Spécialisation classe 7</v>
      </c>
      <c r="C1912" t="str">
        <v>Ministère de la transition écologique et solidaire</v>
      </c>
      <c r="D1912" t="str">
        <f>HYPERLINK("https://inventaire.cncp.gouv.fr/fiches/1353/","1353")</f>
        <v>1353</v>
      </c>
      <c r="E1912" t="str">
        <f>HYPERLINK("http://www.intercariforef.org/formations/certification-74714.html","74714")</f>
        <v>74714</v>
      </c>
      <c r="F1912" s="1">
        <v>40654</v>
      </c>
      <c r="G1912" s="1">
        <v>43111</v>
      </c>
    </row>
    <row r="1913">
      <c r="A1913" t="str">
        <v>Transport</v>
      </c>
      <c r="B1913" t="str">
        <v>Agent AFIS (Aerodrom Flight Information Service)</v>
      </c>
      <c r="C1913" t="str">
        <v>Ministère de la transition écologique et solidaire, Direction générale de l'aviation civile</v>
      </c>
      <c r="D1913" t="str">
        <f>HYPERLINK("https://inventaire.cncp.gouv.fr/fiches/648/","648")</f>
        <v>648</v>
      </c>
      <c r="E1913" t="str">
        <f>HYPERLINK("http://www.intercariforef.org/formations/certification-59970.html","59970")</f>
        <v>59970</v>
      </c>
      <c r="F1913" s="1">
        <v>39716</v>
      </c>
      <c r="G1913" s="1">
        <v>43111</v>
      </c>
    </row>
    <row r="1914">
      <c r="A1914" t="str">
        <v>Transport</v>
      </c>
      <c r="B1914" t="str">
        <v>Agent péril animalier</v>
      </c>
      <c r="C1914" t="str">
        <v>Ministère de la transition écologique et solidaire</v>
      </c>
      <c r="D1914" t="str">
        <f>HYPERLINK("https://inventaire.cncp.gouv.fr/fiches/1462/","1462")</f>
        <v>1462</v>
      </c>
      <c r="E1914" t="str">
        <f>HYPERLINK("http://www.intercariforef.org/formations/certification-86404.html","86404")</f>
        <v>86404</v>
      </c>
      <c r="F1914" s="1">
        <v>42340</v>
      </c>
      <c r="G1914" s="1">
        <v>43111</v>
      </c>
    </row>
    <row r="1915">
      <c r="A1915" t="str">
        <v>Transport</v>
      </c>
      <c r="B1915" t="str">
        <v>Assister la fonction douane</v>
      </c>
      <c r="C1915" t="str">
        <v>Office de développement par l'automatisation et la simplification du commerce extérieur</v>
      </c>
      <c r="D1915" t="str">
        <f>HYPERLINK("https://inventaire.cncp.gouv.fr/fiches/2942/","2942")</f>
        <v>2942</v>
      </c>
      <c r="E1915" t="str">
        <f>HYPERLINK("http://www.intercariforef.org/formations/certification-99269.html","99269")</f>
        <v>99269</v>
      </c>
      <c r="F1915" s="1">
        <v>43083</v>
      </c>
      <c r="G1915" s="1">
        <v>43083</v>
      </c>
    </row>
    <row r="1916">
      <c r="A1916" t="str">
        <v>Transport</v>
      </c>
      <c r="B1916" t="str">
        <v>Assister la fonction douane, spécialité accises</v>
      </c>
      <c r="C1916" t="str">
        <v>Office de développement par l'automatisation et la simplification du commerce extérieur</v>
      </c>
      <c r="D1916" t="str">
        <f>HYPERLINK("https://inventaire.cncp.gouv.fr/fiches/2941/","2941")</f>
        <v>2941</v>
      </c>
      <c r="E1916" t="str">
        <f>HYPERLINK("http://www.intercariforef.org/formations/certification-99271.html","99271")</f>
        <v>99271</v>
      </c>
      <c r="F1916" s="1">
        <v>43083</v>
      </c>
      <c r="G1916" s="1">
        <v>43083</v>
      </c>
    </row>
    <row r="1917">
      <c r="A1917" t="str">
        <v>Transport</v>
      </c>
      <c r="B1917" t="str">
        <v>Assister la fonction douanes, spécialité export control</v>
      </c>
      <c r="C1917" t="str">
        <v>Office de développement par l'automatisation et la simplification du commerce extérieur</v>
      </c>
      <c r="D1917" t="str">
        <f>HYPERLINK("https://inventaire.cncp.gouv.fr/fiches/2940/","2940")</f>
        <v>2940</v>
      </c>
      <c r="E1917" t="str">
        <f>HYPERLINK("http://www.intercariforef.org/formations/certification-99273.html","99273")</f>
        <v>99273</v>
      </c>
      <c r="F1917" s="1">
        <v>43083</v>
      </c>
      <c r="G1917" s="1">
        <v>43083</v>
      </c>
    </row>
    <row r="1918">
      <c r="A1918" t="str">
        <v>Transport</v>
      </c>
      <c r="B1918" t="str">
        <v>Attestation complémentaire de conducteur de train</v>
      </c>
      <c r="C1918" t="str">
        <v>Ministère de la transition écologique et solidaire</v>
      </c>
      <c r="D1918" t="str">
        <f>HYPERLINK("https://inventaire.cncp.gouv.fr/fiches/1198/","1198")</f>
        <v>1198</v>
      </c>
      <c r="E1918" t="str">
        <f>HYPERLINK("http://www.intercariforef.org/formations/certification-85625.html","85625")</f>
        <v>85625</v>
      </c>
      <c r="F1918" s="1">
        <v>42269</v>
      </c>
      <c r="G1918" s="1">
        <v>43111</v>
      </c>
    </row>
    <row r="1919">
      <c r="A1919" t="str">
        <v>Transport</v>
      </c>
      <c r="B1919" t="str">
        <v>Attestation de capacité professionnelle du transport fluvial</v>
      </c>
      <c r="C1919" t="str">
        <v>Ministère de la transition écologique et solidaire, Voies navigables de France (VNF)</v>
      </c>
      <c r="D1919" t="str">
        <f>HYPERLINK("https://inventaire.cncp.gouv.fr/fiches/1881/","1881")</f>
        <v>1881</v>
      </c>
      <c r="E1919" t="str">
        <f>HYPERLINK("http://www.intercariforef.org/formations/certification-89259.html","89259")</f>
        <v>89259</v>
      </c>
      <c r="F1919" s="1">
        <v>42522</v>
      </c>
      <c r="G1919" s="1">
        <v>43111</v>
      </c>
    </row>
    <row r="1920">
      <c r="A1920" t="str">
        <v>Transport</v>
      </c>
      <c r="B1920" t="str">
        <v>Attestation de capacité professionnelle en transport léger de marchandises</v>
      </c>
      <c r="C1920" t="str">
        <v>Direction générale des infrastructures, des transports et de la mer</v>
      </c>
      <c r="D1920" t="str">
        <f>HYPERLINK("https://inventaire.cncp.gouv.fr/fiches/1203/","1203")</f>
        <v>1203</v>
      </c>
      <c r="E1920" t="str">
        <f>HYPERLINK("http://www.intercariforef.org/formations/certification-76874.html","76874")</f>
        <v>76874</v>
      </c>
      <c r="F1920" s="1">
        <v>40912</v>
      </c>
      <c r="G1920" s="1">
        <v>42416</v>
      </c>
    </row>
    <row r="1921">
      <c r="A1921" t="str">
        <v>Transport</v>
      </c>
      <c r="B1921" t="str">
        <v>Attestation de capacité professionnelle en transport routier de marchandises</v>
      </c>
      <c r="C1921" t="str">
        <v>Direction générale des infrastructures, des transports et de la mer</v>
      </c>
      <c r="D1921" t="str">
        <f>HYPERLINK("https://inventaire.cncp.gouv.fr/fiches/1246/","1246")</f>
        <v>1246</v>
      </c>
      <c r="E1921" t="str">
        <f>HYPERLINK("http://www.intercariforef.org/formations/certification-55534.html","55534")</f>
        <v>55534</v>
      </c>
      <c r="F1921" s="1">
        <v>38443</v>
      </c>
      <c r="G1921" s="1">
        <v>42416</v>
      </c>
    </row>
    <row r="1922">
      <c r="A1922" t="str">
        <v>Transport</v>
      </c>
      <c r="B1922" t="str">
        <v>Attestation de capacité professionnelle en transport routier de personnes</v>
      </c>
      <c r="C1922" t="str">
        <v>Direction générale des infrastructures, des transports et de la mer</v>
      </c>
      <c r="D1922" t="str">
        <f>HYPERLINK("https://inventaire.cncp.gouv.fr/fiches/1247/","1247")</f>
        <v>1247</v>
      </c>
      <c r="E1922" t="str">
        <f>HYPERLINK("http://www.intercariforef.org/formations/certification-55535.html","55535")</f>
        <v>55535</v>
      </c>
      <c r="F1922" s="1">
        <v>38443</v>
      </c>
      <c r="G1922" s="1">
        <v>42416</v>
      </c>
    </row>
    <row r="1923" ht="26.2" customHeight="1">
      <c r="A1923" t="str">
        <v>Transport</v>
      </c>
      <c r="B1923" t="str">
        <v>Attestation de capacité professionnelle en transport routier de personnes avec des véhicules n'excédant pas neuf places, y compris le conducteur</v>
      </c>
      <c r="C1923" t="str">
        <v>Direction générale des infrastructures, des transports et de la mer</v>
      </c>
      <c r="D1923" t="str">
        <f>HYPERLINK("https://inventaire.cncp.gouv.fr/fiches/1204/","1204")</f>
        <v>1204</v>
      </c>
      <c r="E1923" t="str">
        <f>HYPERLINK("http://www.intercariforef.org/formations/certification-76873.html","76873")</f>
        <v>76873</v>
      </c>
      <c r="F1923" s="1">
        <v>40912</v>
      </c>
      <c r="G1923" s="1">
        <v>42416</v>
      </c>
    </row>
    <row r="1924" ht="26.2" customHeight="1">
      <c r="A1924" t="str">
        <v>Transport</v>
      </c>
      <c r="B1924" t="str">
        <v>Attestation de capacité professionnelle permettant l'exercice de la profession de commissionnaire de transport</v>
      </c>
      <c r="C1924" t="str">
        <v>Direction générale des infrastructures, des transports et de la mer</v>
      </c>
      <c r="D1924" t="str">
        <f>HYPERLINK("https://inventaire.cncp.gouv.fr/fiches/1253/","1253")</f>
        <v>1253</v>
      </c>
      <c r="E1924" t="str">
        <f>HYPERLINK("http://www.intercariforef.org/formations/certification-55528.html","55528")</f>
        <v>55528</v>
      </c>
      <c r="F1924" s="1">
        <v>38443</v>
      </c>
      <c r="G1924" s="1">
        <v>42416</v>
      </c>
    </row>
    <row r="1925">
      <c r="A1925" t="str">
        <v>Transport</v>
      </c>
      <c r="B1925" t="str">
        <v>Attestation de familiarisation à la sécurité</v>
      </c>
      <c r="C1925" t="str">
        <v>Ministère de la transition écologique et solidaire</v>
      </c>
      <c r="D1925" t="str">
        <f>HYPERLINK("https://inventaire.cncp.gouv.fr/fiches/753/","753")</f>
        <v>753</v>
      </c>
      <c r="E1925" t="str">
        <f>HYPERLINK("http://www.intercariforef.org/formations/certification-84732.html","84732")</f>
        <v>84732</v>
      </c>
      <c r="F1925" s="1">
        <v>42156</v>
      </c>
      <c r="G1925" s="1">
        <v>43111</v>
      </c>
    </row>
    <row r="1926">
      <c r="A1926" t="str">
        <v>Transport</v>
      </c>
      <c r="B1926" t="str">
        <v>Attestation de familiarisation à la sûreté</v>
      </c>
      <c r="C1926" t="str">
        <v>Ministère de la transition écologique et solidaire</v>
      </c>
      <c r="D1926" t="str">
        <f>HYPERLINK("https://inventaire.cncp.gouv.fr/fiches/766/","766")</f>
        <v>766</v>
      </c>
      <c r="E1926" t="str">
        <f>HYPERLINK("http://www.intercariforef.org/formations/certification-84733.html","84733")</f>
        <v>84733</v>
      </c>
      <c r="F1926" s="1">
        <v>42156</v>
      </c>
      <c r="G1926" s="1">
        <v>43111</v>
      </c>
    </row>
    <row r="1927">
      <c r="A1927" t="str">
        <v>Transport</v>
      </c>
      <c r="B1927" t="str">
        <v>Attestation de formation à I'utilisation des cartes électroniques "ECDIS"</v>
      </c>
      <c r="C1927" t="str">
        <v>Direction des affaires maritimes</v>
      </c>
      <c r="D1927" t="str">
        <v>99999</v>
      </c>
      <c r="E1927" t="str">
        <f>HYPERLINK("http://www.intercariforef.org/formations/certification-84418.html","84418")</f>
        <v>84418</v>
      </c>
      <c r="F1927" s="1">
        <v>42109</v>
      </c>
      <c r="G1927" s="1">
        <v>42979</v>
      </c>
    </row>
    <row r="1928" ht="26.2" customHeight="1">
      <c r="A1928" t="str">
        <v>Transport</v>
      </c>
      <c r="B1928" t="str">
        <v>Attestation de formation à la direction et au travail en équipe ainsi qu'à la gestion des ressources à la passerelle</v>
      </c>
      <c r="C1928" t="str">
        <v>Direction des affaires maritimes</v>
      </c>
      <c r="D1928" t="str">
        <f>HYPERLINK("https://inventaire.cncp.gouv.fr/fiches/729/","729")</f>
        <v>729</v>
      </c>
      <c r="E1928" t="str">
        <f>HYPERLINK("http://www.intercariforef.org/formations/certification-84383.html","84383")</f>
        <v>84383</v>
      </c>
      <c r="F1928" s="1">
        <v>42109</v>
      </c>
      <c r="G1928" s="1">
        <v>42979</v>
      </c>
    </row>
    <row r="1929" ht="26.2" customHeight="1">
      <c r="A1929" t="str">
        <v>Transport</v>
      </c>
      <c r="B1929" t="str">
        <v>Attestation de formation à la direction et au travail en équipe ainsi qu'à la gestion des ressources à la passerelle et à la machine</v>
      </c>
      <c r="C1929" t="str">
        <v>Direction des affaires maritimes</v>
      </c>
      <c r="D1929" t="str">
        <f>HYPERLINK("https://inventaire.cncp.gouv.fr/fiches/728/","728")</f>
        <v>728</v>
      </c>
      <c r="E1929" t="str">
        <f>HYPERLINK("http://www.intercariforef.org/formations/certification-84387.html","84387")</f>
        <v>84387</v>
      </c>
      <c r="F1929" s="1">
        <v>42109</v>
      </c>
      <c r="G1929" s="1">
        <v>42979</v>
      </c>
    </row>
    <row r="1930">
      <c r="A1930" t="str">
        <v>Transport</v>
      </c>
      <c r="B1930" t="str">
        <v>Attestation de formation à l'encadrement des passagers</v>
      </c>
      <c r="C1930" t="str">
        <v>Direction des affaires maritimes</v>
      </c>
      <c r="D1930" t="str">
        <f>HYPERLINK("https://inventaire.cncp.gouv.fr/fiches/722/","722")</f>
        <v>722</v>
      </c>
      <c r="E1930" t="str">
        <f>HYPERLINK("http://www.intercariforef.org/formations/certification-84391.html","84391")</f>
        <v>84391</v>
      </c>
      <c r="F1930" s="1">
        <v>42109</v>
      </c>
      <c r="G1930" s="1">
        <v>42486</v>
      </c>
    </row>
    <row r="1931">
      <c r="A1931" t="str">
        <v>Transport</v>
      </c>
      <c r="B1931" t="str">
        <v>Attestation de formation aux opérations de lavage au pétrole brut</v>
      </c>
      <c r="C1931" t="str">
        <v>Direction des affaires maritimes</v>
      </c>
      <c r="D1931" t="str">
        <f>HYPERLINK("https://inventaire.cncp.gouv.fr/fiches/808/","808")</f>
        <v>808</v>
      </c>
      <c r="E1931" t="str">
        <f>HYPERLINK("http://www.intercariforef.org/formations/certification-66316.html","66316")</f>
        <v>66316</v>
      </c>
      <c r="F1931" s="1">
        <v>40260</v>
      </c>
      <c r="G1931" s="1">
        <v>42486</v>
      </c>
    </row>
    <row r="1932">
      <c r="A1932" t="str">
        <v>Transport</v>
      </c>
      <c r="B1932" t="str">
        <v>Attestation de formation complémentaire à la gestion des ressources à la machine</v>
      </c>
      <c r="C1932" t="str">
        <v>Direction des affaires maritimes</v>
      </c>
      <c r="D1932" t="str">
        <f>HYPERLINK("https://inventaire.cncp.gouv.fr/fiches/731/","731")</f>
        <v>731</v>
      </c>
      <c r="E1932" t="str">
        <f>HYPERLINK("http://www.intercariforef.org/formations/certification-84389.html","84389")</f>
        <v>84389</v>
      </c>
      <c r="F1932" s="1">
        <v>42109</v>
      </c>
      <c r="G1932" s="1">
        <v>42979</v>
      </c>
    </row>
    <row r="1933" ht="26.2" customHeight="1">
      <c r="A1933" t="str">
        <v>Transport</v>
      </c>
      <c r="B1933" t="str">
        <v>Attestation de formation en matière de sécurité à I'intention du personnel assurant directement un service aux passagers</v>
      </c>
      <c r="C1933" t="str">
        <v>Direction des affaires maritimes</v>
      </c>
      <c r="D1933" t="str">
        <f>HYPERLINK("https://inventaire.cncp.gouv.fr/fiches/724/","724")</f>
        <v>724</v>
      </c>
      <c r="E1933" t="str">
        <f>HYPERLINK("http://www.intercariforef.org/formations/certification-84392.html","84392")</f>
        <v>84392</v>
      </c>
      <c r="F1933" s="1">
        <v>42109</v>
      </c>
      <c r="G1933" s="1">
        <v>42979</v>
      </c>
    </row>
    <row r="1934" ht="26.2" customHeight="1">
      <c r="A1934" t="str">
        <v>Transport</v>
      </c>
      <c r="B1934" t="str">
        <v>Attestation de formation en matière de sécurité des passagers et de la cargaison et d'intégrité de la coque</v>
      </c>
      <c r="C1934" t="str">
        <v>Direction des affaires maritimes</v>
      </c>
      <c r="D1934" t="str">
        <f>HYPERLINK("https://inventaire.cncp.gouv.fr/fiches/726/","726")</f>
        <v>726</v>
      </c>
      <c r="E1934" t="str">
        <f>HYPERLINK("http://www.intercariforef.org/formations/certification-84397.html","84397")</f>
        <v>84397</v>
      </c>
      <c r="F1934" s="1">
        <v>42109</v>
      </c>
      <c r="G1934" s="1">
        <v>42979</v>
      </c>
    </row>
    <row r="1935">
      <c r="A1935" t="str">
        <v>Transport</v>
      </c>
      <c r="B1935" t="str">
        <v>Attestation de qualification à la direction des opérations de lavage au pétrole brut</v>
      </c>
      <c r="C1935" t="str">
        <v>Direction des affaires maritimes</v>
      </c>
      <c r="D1935" t="str">
        <f>HYPERLINK("https://inventaire.cncp.gouv.fr/fiches/809/","809")</f>
        <v>809</v>
      </c>
      <c r="E1935" t="str">
        <f>HYPERLINK("http://www.intercariforef.org/formations/certification-66315.html","66315")</f>
        <v>66315</v>
      </c>
      <c r="F1935" s="1">
        <v>40260</v>
      </c>
      <c r="G1935" s="1">
        <v>42486</v>
      </c>
    </row>
    <row r="1936">
      <c r="A1936" t="str">
        <v>Transport</v>
      </c>
      <c r="B1936" t="str">
        <v>Attestation de qualification pour le service à bord des engins à grande vitesse</v>
      </c>
      <c r="C1936" t="str">
        <v>Direction des affaires maritimes</v>
      </c>
      <c r="D1936" t="str">
        <v>99999</v>
      </c>
      <c r="E1936" t="str">
        <f>HYPERLINK("http://www.intercariforef.org/formations/certification-84424.html","84424")</f>
        <v>84424</v>
      </c>
      <c r="F1936" s="1">
        <v>42109</v>
      </c>
      <c r="G1936" s="1">
        <v>42979</v>
      </c>
    </row>
    <row r="1937">
      <c r="A1937" t="str">
        <v>Transport</v>
      </c>
      <c r="B1937" t="str">
        <v>Attestation spéciale passagers</v>
      </c>
      <c r="C1937" t="str">
        <v>Ministère de la transition écologique et solidaire</v>
      </c>
      <c r="D1937" t="str">
        <f>HYPERLINK("https://inventaire.cncp.gouv.fr/fiches/1882/","1882")</f>
        <v>1882</v>
      </c>
      <c r="E1937" t="str">
        <f>HYPERLINK("http://www.intercariforef.org/formations/certification-89261.html","89261")</f>
        <v>89261</v>
      </c>
      <c r="F1937" s="1">
        <v>42522</v>
      </c>
      <c r="G1937" s="1">
        <v>43143</v>
      </c>
    </row>
    <row r="1938">
      <c r="A1938" t="str">
        <v>Transport</v>
      </c>
      <c r="B1938" t="str">
        <v>Attestation spéciale Radar</v>
      </c>
      <c r="C1938" t="str">
        <v>Ministère de la transition écologique et solidaire</v>
      </c>
      <c r="D1938" t="str">
        <f>HYPERLINK("https://inventaire.cncp.gouv.fr/fiches/1886/","1886")</f>
        <v>1886</v>
      </c>
      <c r="E1938" t="str">
        <f>HYPERLINK("http://www.intercariforef.org/formations/certification-88809.html","88809")</f>
        <v>88809</v>
      </c>
      <c r="F1938" s="1">
        <v>42499</v>
      </c>
      <c r="G1938" s="1">
        <v>43111</v>
      </c>
    </row>
    <row r="1939">
      <c r="A1939" t="str">
        <v>Transport</v>
      </c>
      <c r="B1939" t="str">
        <v>Auxiliaire ambulancier</v>
      </c>
      <c r="C1939" t="str">
        <v>Direction générale de la santé</v>
      </c>
      <c r="D1939" t="str">
        <f>HYPERLINK("https://inventaire.cncp.gouv.fr/fiches/2013/","2013")</f>
        <v>2013</v>
      </c>
      <c r="E1939" t="str">
        <f>HYPERLINK("http://www.intercariforef.org/formations/certification-65960.html","65960")</f>
        <v>65960</v>
      </c>
      <c r="F1939" s="1">
        <v>40225</v>
      </c>
      <c r="G1939" s="1">
        <v>42515</v>
      </c>
    </row>
    <row r="1940">
      <c r="A1940" t="str">
        <v>Transport</v>
      </c>
      <c r="B1940" t="str">
        <v>BASICS of Supply Chain Management</v>
      </c>
      <c r="C1940" t="str">
        <v>APICS, MGCM</v>
      </c>
      <c r="D1940" t="str">
        <f>HYPERLINK("https://inventaire.cncp.gouv.fr/fiches/1201/","1201")</f>
        <v>1201</v>
      </c>
      <c r="E1940" t="str">
        <f>HYPERLINK("http://www.intercariforef.org/formations/certification-85570.html","85570")</f>
        <v>85570</v>
      </c>
      <c r="F1940" s="1">
        <v>42269</v>
      </c>
      <c r="G1940" s="1">
        <v>42269</v>
      </c>
    </row>
    <row r="1941">
      <c r="A1941" t="str">
        <v>Transport</v>
      </c>
      <c r="B1941" t="str">
        <v>CARD-PRO : Certificat d'Aptitude Routière aux Déplacements Professionnels</v>
      </c>
      <c r="C1941" t="str">
        <v>Association CENTAURE</v>
      </c>
      <c r="D1941" t="str">
        <f>HYPERLINK("https://inventaire.cncp.gouv.fr/fiches/1922/","1922")</f>
        <v>1922</v>
      </c>
      <c r="E1941" t="str">
        <f>HYPERLINK("http://www.intercariforef.org/formations/certification-90229.html","90229")</f>
        <v>90229</v>
      </c>
      <c r="F1941" s="1">
        <v>42563</v>
      </c>
      <c r="G1941" s="1">
        <v>42563</v>
      </c>
    </row>
    <row r="1942">
      <c r="A1942" t="str">
        <v>Transport</v>
      </c>
      <c r="B1942" t="str">
        <v>CCA (Cabin Crew attestation)</v>
      </c>
      <c r="C1942" t="str">
        <v>Ministère de la transition écologique et solidaire</v>
      </c>
      <c r="D1942" t="str">
        <f>HYPERLINK("https://inventaire.cncp.gouv.fr/fiches/328/","328")</f>
        <v>328</v>
      </c>
      <c r="E1942" t="str">
        <f>HYPERLINK("http://www.intercariforef.org/formations/certification-84701.html","84701")</f>
        <v>84701</v>
      </c>
      <c r="F1942" s="1">
        <v>42156</v>
      </c>
      <c r="G1942" s="1">
        <v>43111</v>
      </c>
    </row>
    <row r="1943" ht="26.2" customHeight="1">
      <c r="A1943" t="str">
        <v>Transport</v>
      </c>
      <c r="B1943" t="str">
        <v>Certificat d'aptitude à la sécurité de la conduite de véhicule 4x4 de type tout-terrain en milieu spécifique de montagne</v>
      </c>
      <c r="C1943" t="str">
        <v>CPNE des remontées mécaniques et domaines skiables</v>
      </c>
      <c r="D1943" t="str">
        <f>HYPERLINK("https://inventaire.cncp.gouv.fr/fiches/2641/","2641")</f>
        <v>2641</v>
      </c>
      <c r="E1943" t="str">
        <f>HYPERLINK("http://www.intercariforef.org/formations/certification-95267.html","95267")</f>
        <v>95267</v>
      </c>
      <c r="F1943" s="1">
        <v>42851</v>
      </c>
      <c r="G1943" s="1">
        <v>42851</v>
      </c>
    </row>
    <row r="1944" ht="26.2" customHeight="1">
      <c r="A1944" t="str">
        <v>Transport</v>
      </c>
      <c r="B1944" t="str">
        <v>Certificat d'aptitude à la sécurité de la conduite de véhicule motoneige en milieu professionnel de montagne - option luge</v>
      </c>
      <c r="C1944" t="str">
        <v>CPNE des remontées mécaniques et domaines skiables</v>
      </c>
      <c r="D1944" t="str">
        <f>HYPERLINK("https://inventaire.cncp.gouv.fr/fiches/2645/","2645")</f>
        <v>2645</v>
      </c>
      <c r="E1944" t="str">
        <f>HYPERLINK("http://www.intercariforef.org/formations/certification-95265.html","95265")</f>
        <v>95265</v>
      </c>
      <c r="F1944" s="1">
        <v>42851</v>
      </c>
      <c r="G1944" s="1">
        <v>42851</v>
      </c>
    </row>
    <row r="1945">
      <c r="A1945" t="str">
        <v>Transport</v>
      </c>
      <c r="B1945" t="str">
        <v>Certificat d'aptitude à l'exploitation des canots de secours rapide</v>
      </c>
      <c r="C1945" t="str">
        <v>Direction des affaires maritimes</v>
      </c>
      <c r="D1945" t="str">
        <f>HYPERLINK("https://inventaire.cncp.gouv.fr/fiches/804/","804")</f>
        <v>804</v>
      </c>
      <c r="E1945" t="str">
        <f>HYPERLINK("http://www.intercariforef.org/formations/certification-66281.html","66281")</f>
        <v>66281</v>
      </c>
      <c r="F1945" s="1">
        <v>40246</v>
      </c>
      <c r="G1945" s="1">
        <v>42486</v>
      </c>
    </row>
    <row r="1946">
      <c r="A1946" t="str">
        <v>Transport</v>
      </c>
      <c r="B1946" t="str">
        <v>Certificat d'aptitude à l'hyperbarie</v>
      </c>
      <c r="C1946" t="str">
        <v>Ministère de la transition écologique et solidaire</v>
      </c>
      <c r="D1946" t="str">
        <f>HYPERLINK("https://inventaire.cncp.gouv.fr/fiches/778/","778")</f>
        <v>778</v>
      </c>
      <c r="E1946" t="str">
        <f>HYPERLINK("http://www.intercariforef.org/formations/certification-84738.html","84738")</f>
        <v>84738</v>
      </c>
      <c r="F1946" s="1">
        <v>42156</v>
      </c>
      <c r="G1946" s="1">
        <v>43111</v>
      </c>
    </row>
    <row r="1947">
      <c r="A1947" t="str">
        <v>Transport</v>
      </c>
      <c r="B1947" t="str">
        <v>Certificat d'aptitude aux fonctions d'agent de sûreté du navire</v>
      </c>
      <c r="C1947" t="str">
        <v>Ministère de la transition écologique et solidaire, Direction des affaires maritimes</v>
      </c>
      <c r="D1947" t="str">
        <f>HYPERLINK("https://inventaire.cncp.gouv.fr/fiches/582/","582")</f>
        <v>582</v>
      </c>
      <c r="E1947" t="str">
        <f>HYPERLINK("http://www.intercariforef.org/formations/certification-69537.html","69537")</f>
        <v>69537</v>
      </c>
      <c r="F1947" s="1">
        <v>40360</v>
      </c>
      <c r="G1947" s="1">
        <v>43111</v>
      </c>
    </row>
    <row r="1948">
      <c r="A1948" t="str">
        <v>Transport</v>
      </c>
      <c r="B1948" t="str">
        <v>Certificat de capacité de catégorie PA</v>
      </c>
      <c r="C1948" t="str">
        <v>Ministère de la transition écologique et solidaire</v>
      </c>
      <c r="D1948" t="str">
        <f>HYPERLINK("https://inventaire.cncp.gouv.fr/fiches/1883/","1883")</f>
        <v>1883</v>
      </c>
      <c r="E1948" t="str">
        <f>HYPERLINK("http://www.intercariforef.org/formations/certification-88833.html","88833")</f>
        <v>88833</v>
      </c>
      <c r="F1948" s="1">
        <v>42500</v>
      </c>
      <c r="G1948" s="1">
        <v>43111</v>
      </c>
    </row>
    <row r="1949">
      <c r="A1949" t="str">
        <v>Transport</v>
      </c>
      <c r="B1949" t="str">
        <v>Certificat de capacité de catégorie PB</v>
      </c>
      <c r="C1949" t="str">
        <v>Ministère de la transition écologique et solidaire</v>
      </c>
      <c r="D1949" t="str">
        <f>HYPERLINK("https://inventaire.cncp.gouv.fr/fiches/1884/","1884")</f>
        <v>1884</v>
      </c>
      <c r="E1949" t="str">
        <f>HYPERLINK("http://www.intercariforef.org/formations/certification-88835.html","88835")</f>
        <v>88835</v>
      </c>
      <c r="F1949" s="1">
        <v>42500</v>
      </c>
      <c r="G1949" s="1">
        <v>43111</v>
      </c>
    </row>
    <row r="1950">
      <c r="A1950" t="str">
        <v>Transport</v>
      </c>
      <c r="B1950" t="str">
        <v>Certificat de capacité de catégorie PC</v>
      </c>
      <c r="C1950" t="str">
        <v>Ministère de la transition écologique et solidaire</v>
      </c>
      <c r="D1950" t="str">
        <f>HYPERLINK("https://inventaire.cncp.gouv.fr/fiches/1885/","1885")</f>
        <v>1885</v>
      </c>
      <c r="E1950" t="str">
        <f>HYPERLINK("http://www.intercariforef.org/formations/certification-88837.html","88837")</f>
        <v>88837</v>
      </c>
      <c r="F1950" s="1">
        <v>42500</v>
      </c>
      <c r="G1950" s="1">
        <v>43111</v>
      </c>
    </row>
    <row r="1951">
      <c r="A1951" t="str">
        <v>Transport</v>
      </c>
      <c r="B1951" t="str">
        <v>Certificat de capacité de conduite des bateaux de commerce du groupe A</v>
      </c>
      <c r="C1951" t="str">
        <v>Ministère de la transition écologique et solidaire</v>
      </c>
      <c r="D1951" t="str">
        <f>HYPERLINK("https://inventaire.cncp.gouv.fr/fiches/431/","431")</f>
        <v>431</v>
      </c>
      <c r="E1951" t="str">
        <f>HYPERLINK("http://www.intercariforef.org/formations/certification-84737.html","84737")</f>
        <v>84737</v>
      </c>
      <c r="F1951" s="1">
        <v>42156</v>
      </c>
      <c r="G1951" s="1">
        <v>43111</v>
      </c>
    </row>
    <row r="1952">
      <c r="A1952" t="str">
        <v>Transport</v>
      </c>
      <c r="B1952" t="str">
        <v>Certificat de capacité de conduite des bateaux de commerce du groupe B</v>
      </c>
      <c r="C1952" t="str">
        <v>Ministère de la transition écologique et solidaire</v>
      </c>
      <c r="D1952" t="str">
        <f>HYPERLINK("https://inventaire.cncp.gouv.fr/fiches/429/","429")</f>
        <v>429</v>
      </c>
      <c r="E1952" t="str">
        <f>HYPERLINK("http://www.intercariforef.org/formations/certification-84736.html","84736")</f>
        <v>84736</v>
      </c>
      <c r="F1952" s="1">
        <v>42156</v>
      </c>
      <c r="G1952" s="1">
        <v>43111</v>
      </c>
    </row>
    <row r="1953">
      <c r="A1953" t="str">
        <v>Transport</v>
      </c>
      <c r="B1953" t="str">
        <v>Certificat de compétence pour le transport d'animaux vivants (CAPTAV)</v>
      </c>
      <c r="C1953" t="str">
        <v>Ministère de l'agriculture et de l'alimentation</v>
      </c>
      <c r="D1953" t="str">
        <f>HYPERLINK("https://inventaire.cncp.gouv.fr/fiches/1532/","1532")</f>
        <v>1532</v>
      </c>
      <c r="E1953" t="str">
        <f>HYPERLINK("http://www.intercariforef.org/formations/certification-86402.html","86402")</f>
        <v>86402</v>
      </c>
      <c r="F1953" s="1">
        <v>42340</v>
      </c>
      <c r="G1953" s="1">
        <v>43111</v>
      </c>
    </row>
    <row r="1954" ht="26.2" customHeight="1">
      <c r="A1954" t="str">
        <v>Transport</v>
      </c>
      <c r="B1954" t="str">
        <v>Certificat de formation avancée aux opérations liées à la cargaison des navires-citernes pour gaz liquéfiés</v>
      </c>
      <c r="C1954" t="str">
        <v>Direction des affaires maritimes</v>
      </c>
      <c r="D1954" t="str">
        <f>HYPERLINK("https://inventaire.cncp.gouv.fr/fiches/792/","792")</f>
        <v>792</v>
      </c>
      <c r="E1954" t="str">
        <f>HYPERLINK("http://www.intercariforef.org/formations/certification-66314.html","66314")</f>
        <v>66314</v>
      </c>
      <c r="F1954" s="1">
        <v>40260</v>
      </c>
      <c r="G1954" s="1">
        <v>42486</v>
      </c>
    </row>
    <row r="1955" ht="26.2" customHeight="1">
      <c r="A1955" t="str">
        <v>Transport</v>
      </c>
      <c r="B1955" t="str">
        <v>Certificat de formation avancée aux opérations liées à la cargaison des navires-citernes pour produits chimiques</v>
      </c>
      <c r="C1955" t="str">
        <v>Direction des affaires maritimes</v>
      </c>
      <c r="D1955" t="str">
        <f>HYPERLINK("https://inventaire.cncp.gouv.fr/fiches/791/","791")</f>
        <v>791</v>
      </c>
      <c r="E1955" t="str">
        <f>HYPERLINK("http://www.intercariforef.org/formations/certification-66313.html","66313")</f>
        <v>66313</v>
      </c>
      <c r="F1955" s="1">
        <v>40260</v>
      </c>
      <c r="G1955" s="1">
        <v>42486</v>
      </c>
    </row>
    <row r="1956">
      <c r="A1956" t="str">
        <v>Transport</v>
      </c>
      <c r="B1956" t="str">
        <v>Certificat de formation avancée aux opérations liées à la cargaison des pétroliers</v>
      </c>
      <c r="C1956" t="str">
        <v>Direction des affaires maritimes</v>
      </c>
      <c r="D1956" t="str">
        <f>HYPERLINK("https://inventaire.cncp.gouv.fr/fiches/790/","790")</f>
        <v>790</v>
      </c>
      <c r="E1956" t="str">
        <f>HYPERLINK("http://www.intercariforef.org/formations/certification-66312.html","66312")</f>
        <v>66312</v>
      </c>
      <c r="F1956" s="1">
        <v>40260</v>
      </c>
      <c r="G1956" s="1">
        <v>42486</v>
      </c>
    </row>
    <row r="1957">
      <c r="A1957" t="str">
        <v>Transport</v>
      </c>
      <c r="B1957" t="str">
        <v>Certificat de formation avancée pour le service à bord de navires soumis au recueil IGF</v>
      </c>
      <c r="C1957" t="str">
        <v>Ecole nationale supérieure maritime</v>
      </c>
      <c r="D1957" t="str">
        <f>HYPERLINK("https://inventaire.cncp.gouv.fr/fiches/3358/","3358")</f>
        <v>3358</v>
      </c>
      <c r="E1957" t="str">
        <f>HYPERLINK("http://www.intercariforef.org/formations/certification-100731.html","100731")</f>
        <v>100731</v>
      </c>
      <c r="F1957" s="1">
        <v>43200</v>
      </c>
      <c r="G1957" s="1">
        <v>43200</v>
      </c>
    </row>
    <row r="1958">
      <c r="A1958" t="str">
        <v>Transport</v>
      </c>
      <c r="B1958" t="str">
        <v>Certificat de formation avancée pour les navires exploités dans les eaux polaires</v>
      </c>
      <c r="C1958" t="str">
        <v>Ministère de la transition écologique et solidaire, Ecole nationale supérieure maritime</v>
      </c>
      <c r="D1958" t="str">
        <f>HYPERLINK("https://inventaire.cncp.gouv.fr/fiches/2712/","2712")</f>
        <v>2712</v>
      </c>
      <c r="E1958" t="str">
        <f>HYPERLINK("http://www.intercariforef.org/formations/certification-94111.html","94111")</f>
        <v>94111</v>
      </c>
      <c r="F1958" s="1">
        <v>42766</v>
      </c>
      <c r="G1958" s="1">
        <v>43111</v>
      </c>
    </row>
    <row r="1959">
      <c r="A1959" t="str">
        <v>Transport</v>
      </c>
      <c r="B1959" t="str">
        <v>Certificat de formation de base à la sécurité</v>
      </c>
      <c r="C1959" t="str">
        <v>Ministère de la transition écologique et solidaire</v>
      </c>
      <c r="D1959" t="str">
        <f>HYPERLINK("https://inventaire.cncp.gouv.fr/fiches/466/","466")</f>
        <v>466</v>
      </c>
      <c r="E1959" t="str">
        <f>HYPERLINK("http://www.intercariforef.org/formations/certification-66258.html","66258")</f>
        <v>66258</v>
      </c>
      <c r="F1959" s="1">
        <v>40246</v>
      </c>
      <c r="G1959" s="1">
        <v>43111</v>
      </c>
    </row>
    <row r="1960" ht="26.2" customHeight="1">
      <c r="A1960" t="str">
        <v>Transport</v>
      </c>
      <c r="B1960" t="str">
        <v>Certificat de formation de base aux opérations liées à la cargaison des navires-citernes pour gaz liquéfiés</v>
      </c>
      <c r="C1960" t="str">
        <v>Direction des affaires maritimes</v>
      </c>
      <c r="D1960" t="str">
        <f>HYPERLINK("https://inventaire.cncp.gouv.fr/fiches/789/","789")</f>
        <v>789</v>
      </c>
      <c r="E1960" t="str">
        <f>HYPERLINK("http://www.intercariforef.org/formations/certification-66283.html","66283")</f>
        <v>66283</v>
      </c>
      <c r="F1960" s="1">
        <v>40246</v>
      </c>
      <c r="G1960" s="1">
        <v>42486</v>
      </c>
    </row>
    <row r="1961" ht="26.2" customHeight="1">
      <c r="A1961" t="str">
        <v>Transport</v>
      </c>
      <c r="B1961" t="str">
        <v>Certificat de formation de base aux opérations liées à la cargaison des pétroliers et des navires-citernes pour produits chimiques</v>
      </c>
      <c r="C1961" t="str">
        <v>Direction des affaires maritimes</v>
      </c>
      <c r="D1961" t="str">
        <f>HYPERLINK("https://inventaire.cncp.gouv.fr/fiches/786/","786")</f>
        <v>786</v>
      </c>
      <c r="E1961" t="str">
        <f>HYPERLINK("http://www.intercariforef.org/formations/certification-81513.html","81513")</f>
        <v>81513</v>
      </c>
      <c r="F1961" s="1">
        <v>41514</v>
      </c>
      <c r="G1961" s="1">
        <v>42486</v>
      </c>
    </row>
    <row r="1962">
      <c r="A1962" t="str">
        <v>Transport</v>
      </c>
      <c r="B1962" t="str">
        <v>Certificat de formation de base pour le service à bord de navires soumis au recueil IGF</v>
      </c>
      <c r="C1962" t="str">
        <v>Ecole nationale supérieure maritime</v>
      </c>
      <c r="D1962" t="str">
        <f>HYPERLINK("https://inventaire.cncp.gouv.fr/fiches/3357/","3357")</f>
        <v>3357</v>
      </c>
      <c r="E1962" t="str">
        <f>HYPERLINK("http://www.intercariforef.org/formations/certification-100729.html","100729")</f>
        <v>100729</v>
      </c>
      <c r="F1962" s="1">
        <v>43200</v>
      </c>
      <c r="G1962" s="1">
        <v>43200</v>
      </c>
    </row>
    <row r="1963">
      <c r="A1963" t="str">
        <v>Transport</v>
      </c>
      <c r="B1963" t="str">
        <v>Certificat de formation de base pour les navires exploités dans les eaux polaires</v>
      </c>
      <c r="C1963" t="str">
        <v>Ministère de la transition écologique et solidaire, Ecole nationale supérieure maritime</v>
      </c>
      <c r="D1963" t="str">
        <f>HYPERLINK("https://inventaire.cncp.gouv.fr/fiches/2711/","2711")</f>
        <v>2711</v>
      </c>
      <c r="E1963" t="str">
        <f>HYPERLINK("http://www.intercariforef.org/formations/certification-94109.html","94109")</f>
        <v>94109</v>
      </c>
      <c r="F1963" s="1">
        <v>42766</v>
      </c>
      <c r="G1963" s="1">
        <v>43111</v>
      </c>
    </row>
    <row r="1964">
      <c r="A1964" t="str">
        <v>Transport</v>
      </c>
      <c r="B1964" t="str">
        <v>Certificat de formation spécifique à la sûreté</v>
      </c>
      <c r="C1964" t="str">
        <v>Ministère de la transition écologique et solidaire</v>
      </c>
      <c r="D1964" t="str">
        <f>HYPERLINK("https://inventaire.cncp.gouv.fr/fiches/493/","493")</f>
        <v>493</v>
      </c>
      <c r="E1964" t="str">
        <f>HYPERLINK("http://www.intercariforef.org/formations/certification-84437.html","84437")</f>
        <v>84437</v>
      </c>
      <c r="F1964" s="1">
        <v>42109</v>
      </c>
      <c r="G1964" s="1">
        <v>43111</v>
      </c>
    </row>
    <row r="1965">
      <c r="A1965" t="str">
        <v>Transport</v>
      </c>
      <c r="B1965" t="str">
        <v>Certificat de qualification à la conduite des engins à grande vitesse</v>
      </c>
      <c r="C1965" t="str">
        <v>Direction des affaires maritimes</v>
      </c>
      <c r="D1965" t="str">
        <v>99999</v>
      </c>
      <c r="E1965" t="str">
        <f>HYPERLINK("http://www.intercariforef.org/formations/certification-84422.html","84422")</f>
        <v>84422</v>
      </c>
      <c r="F1965" s="1">
        <v>42109</v>
      </c>
      <c r="G1965" s="1">
        <v>42979</v>
      </c>
    </row>
    <row r="1966">
      <c r="A1966" t="str">
        <v>Transport</v>
      </c>
      <c r="B1966" t="str">
        <v>Certificat de radioélectronicien de 1ère classe</v>
      </c>
      <c r="C1966" t="str">
        <v>Direction des affaires maritimes</v>
      </c>
      <c r="D1966" t="str">
        <f>HYPERLINK("https://inventaire.cncp.gouv.fr/fiches/747/","747")</f>
        <v>747</v>
      </c>
      <c r="E1966" t="str">
        <f>HYPERLINK("http://www.intercariforef.org/formations/certification-66311.html","66311")</f>
        <v>66311</v>
      </c>
      <c r="F1966" s="1">
        <v>40260</v>
      </c>
      <c r="G1966" s="1">
        <v>42486</v>
      </c>
    </row>
    <row r="1967">
      <c r="A1967" t="str">
        <v>Transport</v>
      </c>
      <c r="B1967" t="str">
        <v>Certificat de sensibilisation à la sûreté</v>
      </c>
      <c r="C1967" t="str">
        <v>Ministère de la transition écologique et solidaire</v>
      </c>
      <c r="D1967" t="str">
        <f>HYPERLINK("https://inventaire.cncp.gouv.fr/fiches/481/","481")</f>
        <v>481</v>
      </c>
      <c r="E1967" t="str">
        <f>HYPERLINK("http://www.intercariforef.org/formations/certification-84433.html","84433")</f>
        <v>84433</v>
      </c>
      <c r="F1967" s="1">
        <v>42109</v>
      </c>
      <c r="G1967" s="1">
        <v>43111</v>
      </c>
    </row>
    <row r="1968">
      <c r="A1968" t="str">
        <v>Transport</v>
      </c>
      <c r="B1968" t="str">
        <v>Certificat d'initiation nautique</v>
      </c>
      <c r="C1968" t="str">
        <v>Direction des affaires maritimes</v>
      </c>
      <c r="D1968" t="str">
        <f>HYPERLINK("https://inventaire.cncp.gouv.fr/fiches/923/","923")</f>
        <v>923</v>
      </c>
      <c r="E1968" t="str">
        <f>HYPERLINK("http://www.intercariforef.org/formations/certification-66232.html","66232")</f>
        <v>66232</v>
      </c>
      <c r="F1968" s="1">
        <v>40241</v>
      </c>
      <c r="G1968" s="1">
        <v>42254</v>
      </c>
    </row>
    <row r="1969">
      <c r="A1969" t="str">
        <v>Transport</v>
      </c>
      <c r="B1969" t="str">
        <v>Certificat général d'opérateur</v>
      </c>
      <c r="C1969" t="str">
        <v>Direction des affaires maritimes</v>
      </c>
      <c r="D1969" t="str">
        <f>HYPERLINK("https://inventaire.cncp.gouv.fr/fiches/746/","746")</f>
        <v>746</v>
      </c>
      <c r="E1969" t="str">
        <f>HYPERLINK("http://www.intercariforef.org/formations/certification-66309.html","66309")</f>
        <v>66309</v>
      </c>
      <c r="F1969" s="1">
        <v>40260</v>
      </c>
      <c r="G1969" s="1">
        <v>42486</v>
      </c>
    </row>
    <row r="1970">
      <c r="A1970" t="str">
        <v>Transport</v>
      </c>
      <c r="B1970" t="str">
        <v>Certificat restreint de radiotéléphoniste du service mobile maritime</v>
      </c>
      <c r="C1970" t="str">
        <v>Direction des affaires maritimes</v>
      </c>
      <c r="D1970" t="str">
        <v>99999</v>
      </c>
      <c r="E1970" t="str">
        <f>HYPERLINK("http://www.intercariforef.org/formations/certification-84444.html","84444")</f>
        <v>84444</v>
      </c>
      <c r="F1970" s="1">
        <v>42109</v>
      </c>
      <c r="G1970" s="1">
        <v>42979</v>
      </c>
    </row>
    <row r="1971">
      <c r="A1971" t="str">
        <v>Transport</v>
      </c>
      <c r="B1971" t="str">
        <v>Certificat restreint d'opérateur</v>
      </c>
      <c r="C1971" t="str">
        <v>Direction des affaires maritimes</v>
      </c>
      <c r="D1971" t="str">
        <f>HYPERLINK("https://inventaire.cncp.gouv.fr/fiches/742/","742")</f>
        <v>742</v>
      </c>
      <c r="E1971" t="str">
        <f>HYPERLINK("http://www.intercariforef.org/formations/certification-66308.html","66308")</f>
        <v>66308</v>
      </c>
      <c r="F1971" s="1">
        <v>40260</v>
      </c>
      <c r="G1971" s="1">
        <v>42486</v>
      </c>
    </row>
    <row r="1972">
      <c r="A1972" t="str">
        <v>Transport</v>
      </c>
      <c r="B1972" t="str">
        <v>Certificat spécial d'opérateur</v>
      </c>
      <c r="C1972" t="str">
        <v>Direction des affaires maritimes</v>
      </c>
      <c r="D1972" t="str">
        <v>99999</v>
      </c>
      <c r="E1972" t="str">
        <f>HYPERLINK("http://www.intercariforef.org/formations/certification-66310.html","66310")</f>
        <v>66310</v>
      </c>
      <c r="F1972" s="1">
        <v>40260</v>
      </c>
      <c r="G1972" s="1">
        <v>42188</v>
      </c>
    </row>
    <row r="1973" ht="26.2" customHeight="1">
      <c r="A1973" t="str">
        <v>Transport</v>
      </c>
      <c r="B1973" t="str">
        <v>Certification "Perfectionnement transport, logistique et supply chain pour les coopératives agricoles et leurs filiales"</v>
      </c>
      <c r="C1973" t="str">
        <v>Services Coop de France</v>
      </c>
      <c r="D1973" t="str">
        <f>HYPERLINK("https://inventaire.cncp.gouv.fr/fiches/2299/","2299")</f>
        <v>2299</v>
      </c>
      <c r="E1973" t="str">
        <f>HYPERLINK("http://www.intercariforef.org/formations/certification-93773.html","93773")</f>
        <v>93773</v>
      </c>
      <c r="F1973" s="1">
        <v>42725</v>
      </c>
      <c r="G1973" s="1">
        <v>42725</v>
      </c>
    </row>
    <row r="1974">
      <c r="A1974" t="str">
        <v>Transport</v>
      </c>
      <c r="B1974" t="str">
        <v>Certification Convoyeur de greffons de CSH</v>
      </c>
      <c r="C1974" t="str">
        <v>Agence de la biomédecine</v>
      </c>
      <c r="D1974" t="str">
        <f>HYPERLINK("https://inventaire.cncp.gouv.fr/fiches/2485/","2485")</f>
        <v>2485</v>
      </c>
      <c r="E1974" t="str">
        <f>HYPERLINK("http://www.intercariforef.org/formations/certification-93759.html","93759")</f>
        <v>93759</v>
      </c>
      <c r="F1974" s="1">
        <v>42725</v>
      </c>
      <c r="G1974" s="1">
        <v>42725</v>
      </c>
    </row>
    <row r="1975">
      <c r="A1975" t="str">
        <v>Transport</v>
      </c>
      <c r="B1975" t="str">
        <v>Chef de cabine</v>
      </c>
      <c r="C1975" t="str">
        <v>Ministère de la transition écologique et solidaire, Direction générale de l'aviation civile</v>
      </c>
      <c r="D1975" t="str">
        <f>HYPERLINK("https://inventaire.cncp.gouv.fr/fiches/1101/","1101")</f>
        <v>1101</v>
      </c>
      <c r="E1975" t="str">
        <f>HYPERLINK("http://www.intercariforef.org/formations/certification-85643.html","85643")</f>
        <v>85643</v>
      </c>
      <c r="F1975" s="1">
        <v>42270</v>
      </c>
      <c r="G1975" s="1">
        <v>43111</v>
      </c>
    </row>
    <row r="1976" ht="26.2" customHeight="1">
      <c r="A1976" t="str">
        <v>Transport</v>
      </c>
      <c r="B1976" t="str">
        <v>Chef de manoeuvre du SSLIA (service de sauvetage et de lutte contre l'incendie des aéronefs sur les aérodromes)</v>
      </c>
      <c r="C1976" t="str">
        <v>Direction générale des infrastructures, des transports et de la mer</v>
      </c>
      <c r="D1976" t="str">
        <f>HYPERLINK("https://inventaire.cncp.gouv.fr/fiches/1457/","1457")</f>
        <v>1457</v>
      </c>
      <c r="E1976" t="str">
        <f>HYPERLINK("http://www.intercariforef.org/formations/certification-86407.html","86407")</f>
        <v>86407</v>
      </c>
      <c r="F1976" s="1">
        <v>42340</v>
      </c>
      <c r="G1976" s="1">
        <v>42979</v>
      </c>
    </row>
    <row r="1977">
      <c r="A1977" t="str">
        <v>Transport</v>
      </c>
      <c r="B1977" t="str">
        <v>CPIM (Certified in Production and Inventory Management) de l'APICS</v>
      </c>
      <c r="C1977" t="str">
        <v>APICS, MGCM</v>
      </c>
      <c r="D1977" t="str">
        <f>HYPERLINK("https://inventaire.cncp.gouv.fr/fiches/1202/","1202")</f>
        <v>1202</v>
      </c>
      <c r="E1977" t="str">
        <f>HYPERLINK("http://www.intercariforef.org/formations/certification-85569.html","85569")</f>
        <v>85569</v>
      </c>
      <c r="F1977" s="1">
        <v>42269</v>
      </c>
      <c r="G1977" s="1">
        <v>42269</v>
      </c>
    </row>
    <row r="1978">
      <c r="A1978" t="str">
        <v>Transport</v>
      </c>
      <c r="B1978" t="str">
        <v>CRI (class rating instructor) Instructeur de qualification de classe</v>
      </c>
      <c r="C1978" t="str">
        <v>Direction générale de l'aviation civile</v>
      </c>
      <c r="D1978" t="str">
        <f>HYPERLINK("https://inventaire.cncp.gouv.fr/fiches/64/","64")</f>
        <v>64</v>
      </c>
      <c r="E1978" t="str">
        <f>HYPERLINK("http://www.intercariforef.org/formations/certification-84511.html","84511")</f>
        <v>84511</v>
      </c>
      <c r="F1978" s="1">
        <v>42114</v>
      </c>
      <c r="G1978" s="1">
        <v>42979</v>
      </c>
    </row>
    <row r="1979">
      <c r="A1979" t="str">
        <v>Transport</v>
      </c>
      <c r="B1979" t="str">
        <v>CSCP (Certified Supply Chain Professional) de l'APICS</v>
      </c>
      <c r="C1979" t="str">
        <v>APICS, MGCM</v>
      </c>
      <c r="D1979" t="str">
        <f>HYPERLINK("https://inventaire.cncp.gouv.fr/fiches/1211/","1211")</f>
        <v>1211</v>
      </c>
      <c r="E1979" t="str">
        <f>HYPERLINK("http://www.intercariforef.org/formations/certification-85565.html","85565")</f>
        <v>85565</v>
      </c>
      <c r="F1979" s="1">
        <v>42269</v>
      </c>
      <c r="G1979" s="1">
        <v>42269</v>
      </c>
    </row>
    <row r="1980">
      <c r="A1980" t="str">
        <v>Transport</v>
      </c>
      <c r="B1980" t="str">
        <v>Essentiel du management des flux (EMF)</v>
      </c>
      <c r="C1980" t="str">
        <v>MGCM</v>
      </c>
      <c r="D1980" t="str">
        <f>HYPERLINK("https://inventaire.cncp.gouv.fr/fiches/907/","907")</f>
        <v>907</v>
      </c>
      <c r="E1980" t="str">
        <f>HYPERLINK("http://www.intercariforef.org/formations/certification-85172.html","85172")</f>
        <v>85172</v>
      </c>
      <c r="F1980" s="1">
        <v>42201</v>
      </c>
      <c r="G1980" s="1">
        <v>42201</v>
      </c>
    </row>
    <row r="1981">
      <c r="A1981" t="str">
        <v>Transport</v>
      </c>
      <c r="B1981" t="str">
        <v>Examen d'accès à la profession de conducteur de voiture de transport avec chauffeur (VTC)</v>
      </c>
      <c r="C1981" t="str">
        <v>Ministère de la transition écologique et solidaire</v>
      </c>
      <c r="D1981" t="str">
        <f>HYPERLINK("https://inventaire.cncp.gouv.fr/fiches/3863/","3863")</f>
        <v>3863</v>
      </c>
      <c r="E1981" t="str">
        <f>HYPERLINK("http://www.intercariforef.org/formations/certification-88205.html","88205")</f>
        <v>88205</v>
      </c>
      <c r="F1981" s="1">
        <v>42450</v>
      </c>
      <c r="G1981" s="1">
        <v>43353</v>
      </c>
    </row>
    <row r="1982">
      <c r="A1982" t="str">
        <v>Transport</v>
      </c>
      <c r="B1982" t="str">
        <v>FE - Examinateur de vol</v>
      </c>
      <c r="C1982" t="str">
        <v>Direction générale de l'aviation civile</v>
      </c>
      <c r="D1982" t="str">
        <f>HYPERLINK("https://inventaire.cncp.gouv.fr/fiches/100/","100")</f>
        <v>100</v>
      </c>
      <c r="E1982" t="str">
        <f>HYPERLINK("http://www.intercariforef.org/formations/certification-84556.html","84556")</f>
        <v>84556</v>
      </c>
      <c r="F1982" s="1">
        <v>42114</v>
      </c>
      <c r="G1982" s="1">
        <v>42979</v>
      </c>
    </row>
    <row r="1983">
      <c r="A1983" t="str">
        <v>Transport</v>
      </c>
      <c r="B1983" t="str">
        <v>FI Instructeur de vol</v>
      </c>
      <c r="C1983" t="str">
        <v>Direction générale de l'aviation civile</v>
      </c>
      <c r="D1983" t="str">
        <f>HYPERLINK("https://inventaire.cncp.gouv.fr/fiches/59/","59")</f>
        <v>59</v>
      </c>
      <c r="E1983" t="str">
        <f>HYPERLINK("http://www.intercariforef.org/formations/certification-84525.html","84525")</f>
        <v>84525</v>
      </c>
      <c r="F1983" s="1">
        <v>42114</v>
      </c>
      <c r="G1983" s="1">
        <v>42979</v>
      </c>
    </row>
    <row r="1984" ht="26.2" customHeight="1">
      <c r="A1984" t="str">
        <v>Transport</v>
      </c>
      <c r="B1984" t="str">
        <v>Fondamentaux du Management Industriel et Logistique</v>
      </c>
      <c r="C1984" t="str">
        <v>CPNE des industries de santé, CPNE des bureaux d'études techniques, cabinets d'ingénieurs conseils et sociétés de conseils</v>
      </c>
      <c r="D1984" t="str">
        <f>HYPERLINK("https://inventaire.cncp.gouv.fr/fiches/1260/","1260")</f>
        <v>1260</v>
      </c>
      <c r="E1984" t="str">
        <f>HYPERLINK("http://www.intercariforef.org/formations/certification-85526.html","85526")</f>
        <v>85526</v>
      </c>
      <c r="F1984" s="1">
        <v>42269</v>
      </c>
      <c r="G1984" s="1">
        <v>42269</v>
      </c>
    </row>
    <row r="1985">
      <c r="A1985" t="str">
        <v>Transport</v>
      </c>
      <c r="B1985" t="str">
        <v>Formation au système de visualisation des cartes électroniques et d'information (ECDIS)</v>
      </c>
      <c r="C1985" t="str">
        <v>Direction des affaires maritimes</v>
      </c>
      <c r="D1985" t="str">
        <f>HYPERLINK("https://inventaire.cncp.gouv.fr/fiches/1410/","1410")</f>
        <v>1410</v>
      </c>
      <c r="E1985" t="str">
        <f>HYPERLINK("http://www.intercariforef.org/formations/certification-86379.html","86379")</f>
        <v>86379</v>
      </c>
      <c r="F1985" s="1">
        <v>42340</v>
      </c>
      <c r="G1985" s="1">
        <v>42979</v>
      </c>
    </row>
    <row r="1986" ht="26.2" customHeight="1">
      <c r="A1986" t="str">
        <v>Transport</v>
      </c>
      <c r="B1986" t="str">
        <v>Formation au transport routier d'animaux vivants (autres que les ongulés domestiques et volailles)</v>
      </c>
      <c r="C1986" t="str">
        <v>Ministère de l'agriculture et de l'alimentation</v>
      </c>
      <c r="D1986" t="str">
        <f>HYPERLINK("https://inventaire.cncp.gouv.fr/fiches/2625/","2625")</f>
        <v>2625</v>
      </c>
      <c r="E1986" t="str">
        <f>HYPERLINK("http://www.intercariforef.org/formations/certification-94771.html","94771")</f>
        <v>94771</v>
      </c>
      <c r="F1986" s="1">
        <v>42832</v>
      </c>
      <c r="G1986" s="1">
        <v>43111</v>
      </c>
    </row>
    <row r="1987">
      <c r="A1987" t="str">
        <v>Transport</v>
      </c>
      <c r="B1987" t="str">
        <v>Formation avancée à la haute tension à bord des navires</v>
      </c>
      <c r="C1987" t="str">
        <v>Direction des affaires maritimes</v>
      </c>
      <c r="D1987" t="str">
        <f>HYPERLINK("https://inventaire.cncp.gouv.fr/fiches/2152/","2152")</f>
        <v>2152</v>
      </c>
      <c r="E1987" t="str">
        <f>HYPERLINK("http://www.intercariforef.org/formations/certification-89257.html","89257")</f>
        <v>89257</v>
      </c>
      <c r="F1987" s="1">
        <v>42522</v>
      </c>
      <c r="G1987" s="1">
        <v>42522</v>
      </c>
    </row>
    <row r="1988">
      <c r="A1988" t="str">
        <v>Transport</v>
      </c>
      <c r="B1988" t="str">
        <v>Formation complémentaire « passerelle » - transport de marchandises</v>
      </c>
      <c r="C1988" t="str">
        <v>Directions régionales de l'environnement, de l'aménagement et du logement</v>
      </c>
      <c r="D1988" t="str">
        <f>HYPERLINK("https://inventaire.cncp.gouv.fr/fiches/164/","164")</f>
        <v>164</v>
      </c>
      <c r="E1988" t="str">
        <f>HYPERLINK("http://www.intercariforef.org/formations/certification-84558.html","84558")</f>
        <v>84558</v>
      </c>
      <c r="F1988" s="1">
        <v>42114</v>
      </c>
      <c r="G1988" s="1">
        <v>42979</v>
      </c>
    </row>
    <row r="1989">
      <c r="A1989" t="str">
        <v>Transport</v>
      </c>
      <c r="B1989" t="str">
        <v>Formation complémentaire « passerelle » - transport de voyageurs</v>
      </c>
      <c r="C1989" t="str">
        <v>Directions régionales de l'environnement, de l'aménagement et du logement</v>
      </c>
      <c r="D1989" t="str">
        <f>HYPERLINK("https://inventaire.cncp.gouv.fr/fiches/171/","171")</f>
        <v>171</v>
      </c>
      <c r="E1989" t="str">
        <f>HYPERLINK("http://www.intercariforef.org/formations/certification-84532.html","84532")</f>
        <v>84532</v>
      </c>
      <c r="F1989" s="1">
        <v>42114</v>
      </c>
      <c r="G1989" s="1">
        <v>42979</v>
      </c>
    </row>
    <row r="1990" ht="26.2" customHeight="1">
      <c r="A1990" t="str">
        <v>Transport</v>
      </c>
      <c r="B1990" t="str">
        <v>Formation continue à l'animation des stages de sensibilisation à la sécurité routière destinés aux conducteurs infractionnistes</v>
      </c>
      <c r="C1990" t="str">
        <v>Institut National de Sécurité Routière et de Recherches</v>
      </c>
      <c r="D1990" t="str">
        <f>HYPERLINK("https://inventaire.cncp.gouv.fr/fiches/2945/","2945")</f>
        <v>2945</v>
      </c>
      <c r="E1990" t="str">
        <f>HYPERLINK("http://www.intercariforef.org/formations/certification-97077.html","97077")</f>
        <v>97077</v>
      </c>
      <c r="F1990" s="1">
        <v>42978</v>
      </c>
      <c r="G1990" s="1">
        <v>42978</v>
      </c>
    </row>
    <row r="1991">
      <c r="A1991" t="str">
        <v>Transport</v>
      </c>
      <c r="B1991" t="str">
        <v>Formation continue obligatoire (FCO) - transport de marchandises</v>
      </c>
      <c r="C1991" t="str">
        <v>Directions régionales de l'environnement, de l'aménagement et du logement</v>
      </c>
      <c r="D1991" t="str">
        <f>HYPERLINK("https://inventaire.cncp.gouv.fr/fiches/158/","158")</f>
        <v>158</v>
      </c>
      <c r="E1991" t="str">
        <f>HYPERLINK("http://www.intercariforef.org/formations/certification-84557.html","84557")</f>
        <v>84557</v>
      </c>
      <c r="F1991" s="1">
        <v>42114</v>
      </c>
      <c r="G1991" s="1">
        <v>42979</v>
      </c>
    </row>
    <row r="1992">
      <c r="A1992" t="str">
        <v>Transport</v>
      </c>
      <c r="B1992" t="str">
        <v>Formation continue obligatoire (FCO) - transport de voyageurs</v>
      </c>
      <c r="C1992" t="str">
        <v>Directions régionales de l'environnement, de l'aménagement et du logement</v>
      </c>
      <c r="D1992" t="str">
        <f>HYPERLINK("https://inventaire.cncp.gouv.fr/fiches/169/","169")</f>
        <v>169</v>
      </c>
      <c r="E1992" t="str">
        <f>HYPERLINK("http://www.intercariforef.org/formations/certification-84529.html","84529")</f>
        <v>84529</v>
      </c>
      <c r="F1992" s="1">
        <v>42114</v>
      </c>
      <c r="G1992" s="1">
        <v>42979</v>
      </c>
    </row>
    <row r="1993" ht="26.2" customHeight="1">
      <c r="A1993" t="str">
        <v>Transport</v>
      </c>
      <c r="B1993" t="str">
        <v>Formation d'actualisation des connaissances du gestionnaire de transport titulaire d'une attestation de capacité en transport routier de personnes</v>
      </c>
      <c r="C1993" t="str">
        <v>Ministère de la transition écologique et solidaire</v>
      </c>
      <c r="D1993" t="str">
        <f>HYPERLINK("https://inventaire.cncp.gouv.fr/fiches/1242/","1242")</f>
        <v>1242</v>
      </c>
      <c r="E1993" t="str">
        <f>HYPERLINK("http://www.intercariforef.org/formations/certification-85640.html","85640")</f>
        <v>85640</v>
      </c>
      <c r="F1993" s="1">
        <v>42270</v>
      </c>
      <c r="G1993" s="1">
        <v>43111</v>
      </c>
    </row>
    <row r="1994" ht="39.3" customHeight="1">
      <c r="A1994" t="str">
        <v>Transport</v>
      </c>
      <c r="B1994" t="str">
        <v>Formation d'actualisation des connaissances du gestionnaire de transport titulaire d'une attestation de capacité en transport routier de personnes avec des véhicules n'excédant pas neuf places, y compris le conducteur</v>
      </c>
      <c r="C1994" t="str">
        <v>Ministère de la transition écologique et solidaire</v>
      </c>
      <c r="D1994" t="str">
        <f>HYPERLINK("https://inventaire.cncp.gouv.fr/fiches/1243/","1243")</f>
        <v>1243</v>
      </c>
      <c r="E1994" t="str">
        <f>HYPERLINK("http://www.intercariforef.org/formations/certification-85635.html","85635")</f>
        <v>85635</v>
      </c>
      <c r="F1994" s="1">
        <v>42269</v>
      </c>
      <c r="G1994" s="1">
        <v>43111</v>
      </c>
    </row>
    <row r="1995" ht="26.2" customHeight="1">
      <c r="A1995" t="str">
        <v>Transport</v>
      </c>
      <c r="B1995" t="str">
        <v>Formation d'actualisation des connaissances du gestionnaire de transport titulaire d'une attestation de capacité en transport routier léger de marchandises</v>
      </c>
      <c r="C1995" t="str">
        <v>Ministère de la transition écologique et solidaire</v>
      </c>
      <c r="D1995" t="str">
        <f>HYPERLINK("https://inventaire.cncp.gouv.fr/fiches/1244/","1244")</f>
        <v>1244</v>
      </c>
      <c r="E1995" t="str">
        <f>HYPERLINK("http://www.intercariforef.org/formations/certification-85634.html","85634")</f>
        <v>85634</v>
      </c>
      <c r="F1995" s="1">
        <v>42269</v>
      </c>
      <c r="G1995" s="1">
        <v>43111</v>
      </c>
    </row>
    <row r="1996" ht="26.2" customHeight="1">
      <c r="A1996" t="str">
        <v>Transport</v>
      </c>
      <c r="B1996" t="str">
        <v>Formation d'actualisation des connaissances du gestionnaire de transport titulaire d'une attestation de capacité en transport routier lourd de marchandises</v>
      </c>
      <c r="C1996" t="str">
        <v>Ministère de la transition écologique et solidaire</v>
      </c>
      <c r="D1996" t="str">
        <f>HYPERLINK("https://inventaire.cncp.gouv.fr/fiches/1236/","1236")</f>
        <v>1236</v>
      </c>
      <c r="E1996" t="str">
        <f>HYPERLINK("http://www.intercariforef.org/formations/certification-85642.html","85642")</f>
        <v>85642</v>
      </c>
      <c r="F1996" s="1">
        <v>42270</v>
      </c>
      <c r="G1996" s="1">
        <v>43111</v>
      </c>
    </row>
    <row r="1997">
      <c r="A1997" t="str">
        <v>Transport</v>
      </c>
      <c r="B1997" t="str">
        <v>Formation de base à la haute tension à bord des navires</v>
      </c>
      <c r="C1997" t="str">
        <v>Direction des affaires maritimes</v>
      </c>
      <c r="D1997" t="str">
        <f>HYPERLINK("https://inventaire.cncp.gouv.fr/fiches/2151/","2151")</f>
        <v>2151</v>
      </c>
      <c r="E1997" t="str">
        <f>HYPERLINK("http://www.intercariforef.org/formations/certification-89255.html","89255")</f>
        <v>89255</v>
      </c>
      <c r="F1997" s="1">
        <v>42522</v>
      </c>
      <c r="G1997" s="1">
        <v>42522</v>
      </c>
    </row>
    <row r="1998">
      <c r="A1998" t="str">
        <v>Transport</v>
      </c>
      <c r="B1998" t="str">
        <v>Formation des conducteurs de véhicules de guidage des transports exceptionnels</v>
      </c>
      <c r="C1998" t="str">
        <v>Ministère de la transition écologique et solidaire</v>
      </c>
      <c r="D1998" t="str">
        <f>HYPERLINK("https://inventaire.cncp.gouv.fr/fiches/1182/","1182")</f>
        <v>1182</v>
      </c>
      <c r="E1998" t="str">
        <f>HYPERLINK("http://www.intercariforef.org/formations/certification-85644.html","85644")</f>
        <v>85644</v>
      </c>
      <c r="F1998" s="1">
        <v>42270</v>
      </c>
      <c r="G1998" s="1">
        <v>43111</v>
      </c>
    </row>
    <row r="1999" ht="26.2" customHeight="1">
      <c r="A1999" t="str">
        <v>Transport</v>
      </c>
      <c r="B1999" t="str">
        <v>Formation initiale à l'animation des stages de sensibilisation à la sécurité routière destinée aux conducteurs infractionnistes</v>
      </c>
      <c r="C1999" t="str">
        <v>Institut National de Sécurité Routière et de Recherches</v>
      </c>
      <c r="D1999" t="str">
        <f>HYPERLINK("https://inventaire.cncp.gouv.fr/fiches/2934/","2934")</f>
        <v>2934</v>
      </c>
      <c r="E1999" t="str">
        <f>HYPERLINK("http://www.intercariforef.org/formations/certification-97079.html","97079")</f>
        <v>97079</v>
      </c>
      <c r="F1999" s="1">
        <v>42978</v>
      </c>
      <c r="G1999" s="1">
        <v>42978</v>
      </c>
    </row>
    <row r="2000">
      <c r="A2000" t="str">
        <v>Transport</v>
      </c>
      <c r="B2000" t="str">
        <v>Formation initiale minimale obligatoire (FIMO) - transport de marchandises</v>
      </c>
      <c r="C2000" t="str">
        <v>Directions régionales de l'environnement, de l'aménagement et du logement</v>
      </c>
      <c r="D2000" t="str">
        <f>HYPERLINK("https://inventaire.cncp.gouv.fr/fiches/156/","156")</f>
        <v>156</v>
      </c>
      <c r="E2000" t="str">
        <f>HYPERLINK("http://www.intercariforef.org/formations/certification-84554.html","84554")</f>
        <v>84554</v>
      </c>
      <c r="F2000" s="1">
        <v>42114</v>
      </c>
      <c r="G2000" s="1">
        <v>42979</v>
      </c>
    </row>
    <row r="2001">
      <c r="A2001" t="str">
        <v>Transport</v>
      </c>
      <c r="B2001" t="str">
        <v>Formation initiale minimale obligatoire (FIMO) - transport de voyageurs</v>
      </c>
      <c r="C2001" t="str">
        <v>Directions régionales de l'environnement, de l'aménagement et du logement</v>
      </c>
      <c r="D2001" t="str">
        <f>HYPERLINK("https://inventaire.cncp.gouv.fr/fiches/168/","168")</f>
        <v>168</v>
      </c>
      <c r="E2001" t="str">
        <f>HYPERLINK("http://www.intercariforef.org/formations/certification-84405.html","84405")</f>
        <v>84405</v>
      </c>
      <c r="F2001" s="1">
        <v>42109</v>
      </c>
      <c r="G2001" s="1">
        <v>42979</v>
      </c>
    </row>
    <row r="2002" ht="26.2" customHeight="1">
      <c r="A2002" t="str">
        <v>Transport</v>
      </c>
      <c r="B2002" t="str">
        <v>Formation marchandises dangereuses catégorie 10 Arrimeurs et répartiteurs de charges OACI (Organisation de l'Aviation Civile Internationale)</v>
      </c>
      <c r="C2002" t="str">
        <v>Ministère de la transition écologique et solidaire, Direction générale de l'aviation civile</v>
      </c>
      <c r="D2002" t="str">
        <f>HYPERLINK("https://inventaire.cncp.gouv.fr/fiches/1116/","1116")</f>
        <v>1116</v>
      </c>
      <c r="E2002" t="str">
        <f>HYPERLINK("http://www.intercariforef.org/formations/certification-85591.html","85591")</f>
        <v>85591</v>
      </c>
      <c r="F2002" s="1">
        <v>42269</v>
      </c>
      <c r="G2002" s="1">
        <v>43111</v>
      </c>
    </row>
    <row r="2003" ht="26.2" customHeight="1">
      <c r="A2003" t="str">
        <v>Transport</v>
      </c>
      <c r="B2003" t="str">
        <v>Formation marchandises dangereuses catégorie 10 Membres d'équipage de conduite OACI (Organisation de l'Aviation Civile Internationale)</v>
      </c>
      <c r="C2003" t="str">
        <v>Ministère de la transition écologique et solidaire, Direction générale de l'aviation civile</v>
      </c>
      <c r="D2003" t="str">
        <f>HYPERLINK("https://inventaire.cncp.gouv.fr/fiches/1115/","1115")</f>
        <v>1115</v>
      </c>
      <c r="E2003" t="str">
        <f>HYPERLINK("http://www.intercariforef.org/formations/certification-85581.html","85581")</f>
        <v>85581</v>
      </c>
      <c r="F2003" s="1">
        <v>42269</v>
      </c>
      <c r="G2003" s="1">
        <v>43111</v>
      </c>
    </row>
    <row r="2004" ht="26.2" customHeight="1">
      <c r="A2004" t="str">
        <v>Transport</v>
      </c>
      <c r="B2004" t="str">
        <v>Formation marchandises dangereuses catégorie 11 OACI (Organisation de l'Aviation Civile Internationale)</v>
      </c>
      <c r="C2004" t="str">
        <v>Ministère de la transition écologique et solidaire, Direction générale de l'aviation civile</v>
      </c>
      <c r="D2004" t="str">
        <f>HYPERLINK("https://inventaire.cncp.gouv.fr/fiches/1117/","1117")</f>
        <v>1117</v>
      </c>
      <c r="E2004" t="str">
        <f>HYPERLINK("http://www.intercariforef.org/formations/certification-85593.html","85593")</f>
        <v>85593</v>
      </c>
      <c r="F2004" s="1">
        <v>42269</v>
      </c>
      <c r="G2004" s="1">
        <v>43111</v>
      </c>
    </row>
    <row r="2005" ht="26.2" customHeight="1">
      <c r="A2005" t="str">
        <v>Transport</v>
      </c>
      <c r="B2005" t="str">
        <v>Formation marchandises dangereuses catégorie 12 OACI (Organisation de l'Aviation Civile Internationale)</v>
      </c>
      <c r="C2005" t="str">
        <v>Ministère de la transition écologique et solidaire, Direction générale de l'aviation civile</v>
      </c>
      <c r="D2005" t="str">
        <f>HYPERLINK("https://inventaire.cncp.gouv.fr/fiches/1118/","1118")</f>
        <v>1118</v>
      </c>
      <c r="E2005" t="str">
        <f>HYPERLINK("http://www.intercariforef.org/formations/certification-85595.html","85595")</f>
        <v>85595</v>
      </c>
      <c r="F2005" s="1">
        <v>42269</v>
      </c>
      <c r="G2005" s="1">
        <v>43111</v>
      </c>
    </row>
    <row r="2006" ht="26.2" customHeight="1">
      <c r="A2006" t="str">
        <v>Transport</v>
      </c>
      <c r="B2006" t="str">
        <v>Formation marchandises dangereuses catégorie 13 OACI (Organisation de l'Aviation Civile Internationale)</v>
      </c>
      <c r="C2006" t="str">
        <v>Ministère de la transition écologique et solidaire, Direction générale de l'aviation civile</v>
      </c>
      <c r="D2006" t="str">
        <f>HYPERLINK("https://inventaire.cncp.gouv.fr/fiches/1119/","1119")</f>
        <v>1119</v>
      </c>
      <c r="E2006" t="str">
        <f>HYPERLINK("http://www.intercariforef.org/formations/certification-85596.html","85596")</f>
        <v>85596</v>
      </c>
      <c r="F2006" s="1">
        <v>42269</v>
      </c>
      <c r="G2006" s="1">
        <v>43111</v>
      </c>
    </row>
    <row r="2007" ht="26.2" customHeight="1">
      <c r="A2007" t="str">
        <v>Transport</v>
      </c>
      <c r="B2007" t="str">
        <v>Formation marchandises dangereuses catégorie 14 OACI (Organisation de l'Aviation Civile Internationale)</v>
      </c>
      <c r="C2007" t="str">
        <v>Ministère de la transition écologique et solidaire, Direction générale de l'aviation civile</v>
      </c>
      <c r="D2007" t="str">
        <f>HYPERLINK("https://inventaire.cncp.gouv.fr/fiches/1120/","1120")</f>
        <v>1120</v>
      </c>
      <c r="E2007" t="str">
        <f>HYPERLINK("http://www.intercariforef.org/formations/certification-85598.html","85598")</f>
        <v>85598</v>
      </c>
      <c r="F2007" s="1">
        <v>42269</v>
      </c>
      <c r="G2007" s="1">
        <v>43111</v>
      </c>
    </row>
    <row r="2008" ht="26.2" customHeight="1">
      <c r="A2008" t="str">
        <v>Transport</v>
      </c>
      <c r="B2008" t="str">
        <v>Formation marchandises dangereuses catégorie 15 OACI (Organisation de l'Aviation Civile Internationale)</v>
      </c>
      <c r="C2008" t="str">
        <v>Ministère de la transition écologique et solidaire, Direction générale de l'aviation civile</v>
      </c>
      <c r="D2008" t="str">
        <f>HYPERLINK("https://inventaire.cncp.gouv.fr/fiches/1121/","1121")</f>
        <v>1121</v>
      </c>
      <c r="E2008" t="str">
        <f>HYPERLINK("http://www.intercariforef.org/formations/certification-85599.html","85599")</f>
        <v>85599</v>
      </c>
      <c r="F2008" s="1">
        <v>42269</v>
      </c>
      <c r="G2008" s="1">
        <v>43111</v>
      </c>
    </row>
    <row r="2009" ht="26.2" customHeight="1">
      <c r="A2009" t="str">
        <v>Transport</v>
      </c>
      <c r="B2009" t="str">
        <v>Formation marchandises dangereuses catégorie 16 OACI arrimeurs et Répartiteurs de charge (Organisation de l'Aviation Civile Internationale)</v>
      </c>
      <c r="C2009" t="str">
        <v>Ministère de la transition écologique et solidaire, Direction générale de l'aviation civile</v>
      </c>
      <c r="D2009" t="str">
        <f>HYPERLINK("https://inventaire.cncp.gouv.fr/fiches/1122/","1122")</f>
        <v>1122</v>
      </c>
      <c r="E2009" t="str">
        <f>HYPERLINK("http://www.intercariforef.org/formations/certification-85600.html","85600")</f>
        <v>85600</v>
      </c>
      <c r="F2009" s="1">
        <v>42269</v>
      </c>
      <c r="G2009" s="1">
        <v>43111</v>
      </c>
    </row>
    <row r="2010" ht="26.2" customHeight="1">
      <c r="A2010" t="str">
        <v>Transport</v>
      </c>
      <c r="B2010" t="str">
        <v>Formation marchandises dangereuses catégorie 16 OACI Membres d'équipage de conduite (Organisation de l'Aviation Civile Internationale)</v>
      </c>
      <c r="C2010" t="str">
        <v>Ministère de la transition écologique et solidaire, Direction générale de l'aviation civile</v>
      </c>
      <c r="D2010" t="str">
        <f>HYPERLINK("https://inventaire.cncp.gouv.fr/fiches/1123/","1123")</f>
        <v>1123</v>
      </c>
      <c r="E2010" t="str">
        <f>HYPERLINK("http://www.intercariforef.org/formations/certification-85601.html","85601")</f>
        <v>85601</v>
      </c>
      <c r="F2010" s="1">
        <v>42269</v>
      </c>
      <c r="G2010" s="1">
        <v>43111</v>
      </c>
    </row>
    <row r="2011" ht="26.2" customHeight="1">
      <c r="A2011" t="str">
        <v>Transport</v>
      </c>
      <c r="B2011" t="str">
        <v>Formation marchandises dangereuses catégorie 17 OACI (Organisation de l'Aviation Civile Internationale)</v>
      </c>
      <c r="C2011" t="str">
        <v>Ministère de la transition écologique et solidaire, Direction générale de l'aviation civile</v>
      </c>
      <c r="D2011" t="str">
        <f>HYPERLINK("https://inventaire.cncp.gouv.fr/fiches/1124/","1124")</f>
        <v>1124</v>
      </c>
      <c r="E2011" t="str">
        <f>HYPERLINK("http://www.intercariforef.org/formations/certification-85602.html","85602")</f>
        <v>85602</v>
      </c>
      <c r="F2011" s="1">
        <v>42269</v>
      </c>
      <c r="G2011" s="1">
        <v>43111</v>
      </c>
    </row>
    <row r="2012">
      <c r="A2012" t="str">
        <v>Transport</v>
      </c>
      <c r="B2012" t="str">
        <v>Formation marchandises dangereuses catégorie 6 OACI</v>
      </c>
      <c r="C2012" t="str">
        <v>Ministère de la transition écologique et solidaire, Direction générale de l'aviation civile</v>
      </c>
      <c r="D2012" t="str">
        <f>HYPERLINK("https://inventaire.cncp.gouv.fr/fiches/1110/","1110")</f>
        <v>1110</v>
      </c>
      <c r="E2012" t="str">
        <f>HYPERLINK("http://www.intercariforef.org/formations/certification-85573.html","85573")</f>
        <v>85573</v>
      </c>
      <c r="F2012" s="1">
        <v>42269</v>
      </c>
      <c r="G2012" s="1">
        <v>43111</v>
      </c>
    </row>
    <row r="2013" ht="26.2" customHeight="1">
      <c r="A2013" t="str">
        <v>Transport</v>
      </c>
      <c r="B2013" t="str">
        <v>Formation marchandises dangereuses catégorie 7 OACI (Organisation de l'Aviation Civile Internationale)</v>
      </c>
      <c r="C2013" t="str">
        <v>Ministère de la transition écologique et solidaire, Direction générale de l'aviation civile</v>
      </c>
      <c r="D2013" t="str">
        <f>HYPERLINK("https://inventaire.cncp.gouv.fr/fiches/1112/","1112")</f>
        <v>1112</v>
      </c>
      <c r="E2013" t="str">
        <f>HYPERLINK("http://www.intercariforef.org/formations/certification-85574.html","85574")</f>
        <v>85574</v>
      </c>
      <c r="F2013" s="1">
        <v>42269</v>
      </c>
      <c r="G2013" s="1">
        <v>43111</v>
      </c>
    </row>
    <row r="2014" ht="26.2" customHeight="1">
      <c r="A2014" t="str">
        <v>Transport</v>
      </c>
      <c r="B2014" t="str">
        <v>Formation marchandises dangereuses catégorie 8 OACI (Organisation de l'Aviation Civile Internationale)</v>
      </c>
      <c r="C2014" t="str">
        <v>Ministère de la transition écologique et solidaire, Direction générale de l'aviation civile</v>
      </c>
      <c r="D2014" t="str">
        <f>HYPERLINK("https://inventaire.cncp.gouv.fr/fiches/1113/","1113")</f>
        <v>1113</v>
      </c>
      <c r="E2014" t="str">
        <f>HYPERLINK("http://www.intercariforef.org/formations/certification-85576.html","85576")</f>
        <v>85576</v>
      </c>
      <c r="F2014" s="1">
        <v>42269</v>
      </c>
      <c r="G2014" s="1">
        <v>43111</v>
      </c>
    </row>
    <row r="2015" ht="26.2" customHeight="1">
      <c r="A2015" t="str">
        <v>Transport</v>
      </c>
      <c r="B2015" t="str">
        <v>Formation marchandises dangereuses catégorie 9 OACI (Organisation de l'Aviation Civile Internationale)</v>
      </c>
      <c r="C2015" t="str">
        <v>Ministère de la transition écologique et solidaire, Direction générale de l'aviation civile</v>
      </c>
      <c r="D2015" t="str">
        <f>HYPERLINK("https://inventaire.cncp.gouv.fr/fiches/1114/","1114")</f>
        <v>1114</v>
      </c>
      <c r="E2015" t="str">
        <f>HYPERLINK("http://www.intercariforef.org/formations/certification-85580.html","85580")</f>
        <v>85580</v>
      </c>
      <c r="F2015" s="1">
        <v>42269</v>
      </c>
      <c r="G2015" s="1">
        <v>43111</v>
      </c>
    </row>
    <row r="2016" ht="39.3" customHeight="1">
      <c r="A2016" t="str">
        <v>Transport</v>
      </c>
      <c r="B2016" t="str">
        <v>Formation préparatoire à l'examen d'attestation de capacité professionnelle permettant l'exercice de la profession de transporteur public routier de personnes à l'aide de tous véhicules de transport de personnes</v>
      </c>
      <c r="C2016" t="str">
        <v>Ministère de la transition écologique et solidaire</v>
      </c>
      <c r="D2016" t="str">
        <f>HYPERLINK("https://inventaire.cncp.gouv.fr/fiches/1247/","1247")</f>
        <v>1247</v>
      </c>
      <c r="E2016" t="str">
        <f>HYPERLINK("http://www.intercariforef.org/formations/certification-85633.html","85633")</f>
        <v>85633</v>
      </c>
      <c r="F2016" s="1">
        <v>42269</v>
      </c>
      <c r="G2016" s="1">
        <v>43111</v>
      </c>
    </row>
    <row r="2017" ht="26.2" customHeight="1">
      <c r="A2017" t="str">
        <v>Transport</v>
      </c>
      <c r="B2017" t="str">
        <v>Formation professionnelle continue des conducteurs de véhicules de protection (FCP) des transports exceptionnels</v>
      </c>
      <c r="C2017" t="str">
        <v>Ministère de la transition écologique et solidaire</v>
      </c>
      <c r="D2017" t="str">
        <f>HYPERLINK("https://inventaire.cncp.gouv.fr/fiches/1181/","1181")</f>
        <v>1181</v>
      </c>
      <c r="E2017" t="str">
        <f>HYPERLINK("http://www.intercariforef.org/formations/certification-85645.html","85645")</f>
        <v>85645</v>
      </c>
      <c r="F2017" s="1">
        <v>42270</v>
      </c>
      <c r="G2017" s="1">
        <v>43111</v>
      </c>
    </row>
    <row r="2018" ht="26.2" customHeight="1">
      <c r="A2018" t="str">
        <v>Transport</v>
      </c>
      <c r="B2018" t="str">
        <v>Formation professionnelle initiale des conducteurs de véhicules de protection (FIP) des transports exceptionnels</v>
      </c>
      <c r="C2018" t="str">
        <v>Ministère de la transition écologique et solidaire</v>
      </c>
      <c r="D2018" t="str">
        <f>HYPERLINK("https://inventaire.cncp.gouv.fr/fiches/1179/","1179")</f>
        <v>1179</v>
      </c>
      <c r="E2018" t="str">
        <f>HYPERLINK("http://www.intercariforef.org/formations/certification-85646.html","85646")</f>
        <v>85646</v>
      </c>
      <c r="F2018" s="1">
        <v>42270</v>
      </c>
      <c r="G2018" s="1">
        <v>43111</v>
      </c>
    </row>
    <row r="2019">
      <c r="A2019" t="str">
        <v>Transport</v>
      </c>
      <c r="B2019" t="str">
        <v>Formation propre à un type d'aéronef ( personnel de cabine)</v>
      </c>
      <c r="C2019" t="str">
        <v>Ministère de la transition écologique et solidaire, Direction générale de l'aviation civile</v>
      </c>
      <c r="D2019" t="str">
        <f>HYPERLINK("https://inventaire.cncp.gouv.fr/fiches/1099/","1099")</f>
        <v>1099</v>
      </c>
      <c r="E2019" t="str">
        <f>HYPERLINK("http://www.intercariforef.org/formations/certification-85639.html","85639")</f>
        <v>85639</v>
      </c>
      <c r="F2019" s="1">
        <v>42270</v>
      </c>
      <c r="G2019" s="1">
        <v>43111</v>
      </c>
    </row>
    <row r="2020">
      <c r="A2020" t="str">
        <v>Transport</v>
      </c>
      <c r="B2020" t="str">
        <v>Fournisseur de données aéronautiques</v>
      </c>
      <c r="C2020" t="str">
        <v>Ministère de la transition écologique et solidaire</v>
      </c>
      <c r="D2020" t="str">
        <f>HYPERLINK("https://inventaire.cncp.gouv.fr/fiches/2287/","2287")</f>
        <v>2287</v>
      </c>
      <c r="E2020" t="str">
        <f>HYPERLINK("http://www.intercariforef.org/formations/certification-92973.html","92973")</f>
        <v>92973</v>
      </c>
      <c r="F2020" s="1">
        <v>42688</v>
      </c>
      <c r="G2020" s="1">
        <v>43111</v>
      </c>
    </row>
    <row r="2021">
      <c r="A2021" t="str">
        <v>Transport</v>
      </c>
      <c r="B2021" t="str">
        <v>Gérer la fonction douane</v>
      </c>
      <c r="C2021" t="str">
        <v>Office de développement par l'automatisation et la simplification du commerce extérieur</v>
      </c>
      <c r="D2021" t="str">
        <f>HYPERLINK("https://inventaire.cncp.gouv.fr/fiches/2938/","2938")</f>
        <v>2938</v>
      </c>
      <c r="E2021" t="str">
        <f>HYPERLINK("http://www.intercariforef.org/formations/certification-99277.html","99277")</f>
        <v>99277</v>
      </c>
      <c r="F2021" s="1">
        <v>43083</v>
      </c>
      <c r="G2021" s="1">
        <v>43083</v>
      </c>
    </row>
    <row r="2022">
      <c r="A2022" t="str">
        <v>Transport</v>
      </c>
      <c r="B2022" t="str">
        <v>Gérer la fonction douane, spécialité accises</v>
      </c>
      <c r="C2022" t="str">
        <v>Office de développement par l'automatisation et la simplification du commerce extérieur</v>
      </c>
      <c r="D2022" t="str">
        <f>HYPERLINK("https://inventaire.cncp.gouv.fr/fiches/2939/","2939")</f>
        <v>2939</v>
      </c>
      <c r="E2022" t="str">
        <f>HYPERLINK("http://www.intercariforef.org/formations/certification-99275.html","99275")</f>
        <v>99275</v>
      </c>
      <c r="F2022" s="1">
        <v>43083</v>
      </c>
      <c r="G2022" s="1">
        <v>43083</v>
      </c>
    </row>
    <row r="2023">
      <c r="A2023" t="str">
        <v>Transport</v>
      </c>
      <c r="B2023" t="str">
        <v>Gérer la fonction douane, spécialité export control</v>
      </c>
      <c r="C2023" t="str">
        <v>Office de développement par l'automatisation et la simplification du commerce extérieur</v>
      </c>
      <c r="D2023" t="str">
        <f>HYPERLINK("https://inventaire.cncp.gouv.fr/fiches/2943/","2943")</f>
        <v>2943</v>
      </c>
      <c r="E2023" t="str">
        <f>HYPERLINK("http://www.intercariforef.org/formations/certification-99267.html","99267")</f>
        <v>99267</v>
      </c>
      <c r="F2023" s="1">
        <v>43083</v>
      </c>
      <c r="G2023" s="1">
        <v>43083</v>
      </c>
    </row>
    <row r="2024">
      <c r="A2024" t="str">
        <v>Transport</v>
      </c>
      <c r="B2024" t="str">
        <v>Habilitation aux tâches essentielles de sécurité ferroviaires autres que la conduite des trains</v>
      </c>
      <c r="C2024" t="str">
        <v>Ministère de la transition écologique et solidaire</v>
      </c>
      <c r="D2024" t="str">
        <f>HYPERLINK("https://inventaire.cncp.gouv.fr/fiches/1199/","1199")</f>
        <v>1199</v>
      </c>
      <c r="E2024" t="str">
        <f>HYPERLINK("http://www.intercariforef.org/formations/certification-85620.html","85620")</f>
        <v>85620</v>
      </c>
      <c r="F2024" s="1">
        <v>42269</v>
      </c>
      <c r="G2024" s="1">
        <v>43111</v>
      </c>
    </row>
    <row r="2025">
      <c r="A2025" t="str">
        <v>Transport</v>
      </c>
      <c r="B2025" t="str">
        <v>Habilitation Tramway et autres systèmes de transport guidé</v>
      </c>
      <c r="C2025" t="str">
        <v>Ministère de la transition écologique et solidaire</v>
      </c>
      <c r="D2025" t="str">
        <f>HYPERLINK("https://inventaire.cncp.gouv.fr/fiches/1200/","1200")</f>
        <v>1200</v>
      </c>
      <c r="E2025" t="str">
        <f>HYPERLINK("http://www.intercariforef.org/formations/certification-85619.html","85619")</f>
        <v>85619</v>
      </c>
      <c r="F2025" s="1">
        <v>42269</v>
      </c>
      <c r="G2025" s="1">
        <v>43111</v>
      </c>
    </row>
    <row r="2026">
      <c r="A2026" t="str">
        <v>Transport</v>
      </c>
      <c r="B2026" t="str">
        <v>IR (Instruments rating) : partie pratique</v>
      </c>
      <c r="C2026" t="str">
        <v>Direction générale de l'aviation civile</v>
      </c>
      <c r="D2026" t="str">
        <f>HYPERLINK("https://inventaire.cncp.gouv.fr/fiches/57/","57")</f>
        <v>57</v>
      </c>
      <c r="E2026" t="str">
        <f>HYPERLINK("http://www.intercariforef.org/formations/certification-84549.html","84549")</f>
        <v>84549</v>
      </c>
      <c r="F2026" s="1">
        <v>42114</v>
      </c>
      <c r="G2026" s="1">
        <v>42979</v>
      </c>
    </row>
    <row r="2027">
      <c r="A2027" t="str">
        <v>Transport</v>
      </c>
      <c r="B2027" t="str">
        <v>IR (Instruments rating) qualification aux instruments : partie théorique</v>
      </c>
      <c r="C2027" t="str">
        <v>Direction générale de l'aviation civile</v>
      </c>
      <c r="D2027" t="str">
        <f>HYPERLINK("https://inventaire.cncp.gouv.fr/fiches/56/","56")</f>
        <v>56</v>
      </c>
      <c r="E2027" t="str">
        <f>HYPERLINK("http://www.intercariforef.org/formations/certification-84555.html","84555")</f>
        <v>84555</v>
      </c>
      <c r="F2027" s="1">
        <v>42114</v>
      </c>
      <c r="G2027" s="1">
        <v>42979</v>
      </c>
    </row>
    <row r="2028">
      <c r="A2028" t="str">
        <v>Transport</v>
      </c>
      <c r="B2028" t="str">
        <v>IRE - Examinateur de vol aux instruments</v>
      </c>
      <c r="C2028" t="str">
        <v>Direction générale de l'aviation civile</v>
      </c>
      <c r="D2028" t="str">
        <f>HYPERLINK("https://inventaire.cncp.gouv.fr/fiches/119/","119")</f>
        <v>119</v>
      </c>
      <c r="E2028" t="str">
        <f>HYPERLINK("http://www.intercariforef.org/formations/certification-84535.html","84535")</f>
        <v>84535</v>
      </c>
      <c r="F2028" s="1">
        <v>42114</v>
      </c>
      <c r="G2028" s="1">
        <v>42979</v>
      </c>
    </row>
    <row r="2029">
      <c r="A2029" t="str">
        <v>Transport</v>
      </c>
      <c r="B2029" t="str">
        <v>IRI (Instruments rating instructor) - Instructeur de qualification de vol aux instruments</v>
      </c>
      <c r="C2029" t="str">
        <v>Direction générale de l'aviation civile</v>
      </c>
      <c r="D2029" t="str">
        <f>HYPERLINK("https://inventaire.cncp.gouv.fr/fiches/65/","65")</f>
        <v>65</v>
      </c>
      <c r="E2029" t="str">
        <f>HYPERLINK("http://www.intercariforef.org/formations/certification-84550.html","84550")</f>
        <v>84550</v>
      </c>
      <c r="F2029" s="1">
        <v>42114</v>
      </c>
      <c r="G2029" s="1">
        <v>42979</v>
      </c>
    </row>
    <row r="2030">
      <c r="A2030" t="str">
        <v>Transport</v>
      </c>
      <c r="B2030" t="str">
        <v>Licence de capitaine pilote</v>
      </c>
      <c r="C2030" t="str">
        <v>Ministère de la transition écologique et solidaire</v>
      </c>
      <c r="D2030" t="str">
        <f>HYPERLINK("https://inventaire.cncp.gouv.fr/fiches/740/","740")</f>
        <v>740</v>
      </c>
      <c r="E2030" t="str">
        <f>HYPERLINK("http://www.intercariforef.org/formations/certification-84740.html","84740")</f>
        <v>84740</v>
      </c>
      <c r="F2030" s="1">
        <v>42156</v>
      </c>
      <c r="G2030" s="1">
        <v>43111</v>
      </c>
    </row>
    <row r="2031">
      <c r="A2031" t="str">
        <v>Transport</v>
      </c>
      <c r="B2031" t="str">
        <v>Licence de conducteur de train</v>
      </c>
      <c r="C2031" t="str">
        <v>Établissement public de sécurité ferroviaire</v>
      </c>
      <c r="D2031" t="str">
        <f>HYPERLINK("https://inventaire.cncp.gouv.fr/fiches/1197/","1197")</f>
        <v>1197</v>
      </c>
      <c r="E2031" t="str">
        <f>HYPERLINK("http://www.intercariforef.org/formations/certification-69587.html","69587")</f>
        <v>69587</v>
      </c>
      <c r="F2031" s="1">
        <v>40359</v>
      </c>
      <c r="G2031" s="1">
        <v>42634</v>
      </c>
    </row>
    <row r="2032">
      <c r="A2032" t="str">
        <v>Transport</v>
      </c>
      <c r="B2032" t="str">
        <v>Licence de mécanicien aéronautique B2</v>
      </c>
      <c r="C2032" t="str">
        <v>Direction générale de l'aviation civile</v>
      </c>
      <c r="D2032" t="str">
        <f>HYPERLINK("https://inventaire.cncp.gouv.fr/fiches/1039/","1039")</f>
        <v>1039</v>
      </c>
      <c r="E2032" t="str">
        <f>HYPERLINK("http://www.intercariforef.org/formations/certification-85054.html","85054")</f>
        <v>85054</v>
      </c>
      <c r="F2032" s="1">
        <v>42185</v>
      </c>
      <c r="G2032" s="1">
        <v>42979</v>
      </c>
    </row>
    <row r="2033">
      <c r="A2033" t="str">
        <v>Transport</v>
      </c>
      <c r="B2033" t="str">
        <v>Licence de mécanicien aéronautique B3</v>
      </c>
      <c r="C2033" t="str">
        <v>Direction générale de l'aviation civile</v>
      </c>
      <c r="D2033" t="str">
        <f>HYPERLINK("https://inventaire.cncp.gouv.fr/fiches/1041/","1041")</f>
        <v>1041</v>
      </c>
      <c r="E2033" t="str">
        <f>HYPERLINK("http://www.intercariforef.org/formations/certification-85014.html","85014")</f>
        <v>85014</v>
      </c>
      <c r="F2033" s="1">
        <v>42184</v>
      </c>
      <c r="G2033" s="1">
        <v>42979</v>
      </c>
    </row>
    <row r="2034">
      <c r="A2034" t="str">
        <v>Transport</v>
      </c>
      <c r="B2034" t="str">
        <v>Management de la supply chain</v>
      </c>
      <c r="C2034" t="str">
        <v>Cegos</v>
      </c>
      <c r="D2034" t="str">
        <f>HYPERLINK("https://inventaire.cncp.gouv.fr/fiches/3102/","3102")</f>
        <v>3102</v>
      </c>
      <c r="E2034" t="str">
        <f>HYPERLINK("http://www.intercariforef.org/formations/certification-100137.html","100137")</f>
        <v>100137</v>
      </c>
      <c r="F2034" s="1">
        <v>43153</v>
      </c>
      <c r="G2034" s="1">
        <v>43153</v>
      </c>
    </row>
    <row r="2035">
      <c r="A2035" t="str">
        <v>Transport</v>
      </c>
      <c r="B2035" t="str">
        <v>Manager la fonction douane</v>
      </c>
      <c r="C2035" t="str">
        <v>Office de développement par l'automatisation et la simplification du commerce extérieur</v>
      </c>
      <c r="D2035" t="str">
        <f>HYPERLINK("https://inventaire.cncp.gouv.fr/fiches/2935/","2935")</f>
        <v>2935</v>
      </c>
      <c r="E2035" t="str">
        <f>HYPERLINK("http://www.intercariforef.org/formations/certification-99283.html","99283")</f>
        <v>99283</v>
      </c>
      <c r="F2035" s="1">
        <v>43083</v>
      </c>
      <c r="G2035" s="1">
        <v>43083</v>
      </c>
    </row>
    <row r="2036">
      <c r="A2036" t="str">
        <v>Transport</v>
      </c>
      <c r="B2036" t="str">
        <v>Manager la fonction douane, spécialité accises</v>
      </c>
      <c r="C2036" t="str">
        <v>Office de développement par l'automatisation et la simplification du commerce extérieur</v>
      </c>
      <c r="D2036" t="str">
        <f>HYPERLINK("https://inventaire.cncp.gouv.fr/fiches/2937/","2937")</f>
        <v>2937</v>
      </c>
      <c r="E2036" t="str">
        <f>HYPERLINK("http://www.intercariforef.org/formations/certification-99279.html","99279")</f>
        <v>99279</v>
      </c>
      <c r="F2036" s="1">
        <v>43083</v>
      </c>
      <c r="G2036" s="1">
        <v>43083</v>
      </c>
    </row>
    <row r="2037">
      <c r="A2037" t="str">
        <v>Transport</v>
      </c>
      <c r="B2037" t="str">
        <v>Manager la fonction douane, spécialité export control</v>
      </c>
      <c r="C2037" t="str">
        <v>Office de développement par l'automatisation et la simplification du commerce extérieur</v>
      </c>
      <c r="D2037" t="str">
        <f>HYPERLINK("https://inventaire.cncp.gouv.fr/fiches/2936/","2936")</f>
        <v>2936</v>
      </c>
      <c r="E2037" t="str">
        <f>HYPERLINK("http://www.intercariforef.org/formations/certification-99281.html","99281")</f>
        <v>99281</v>
      </c>
      <c r="F2037" s="1">
        <v>43083</v>
      </c>
      <c r="G2037" s="1">
        <v>43083</v>
      </c>
    </row>
    <row r="2038">
      <c r="A2038" t="str">
        <v>Transport</v>
      </c>
      <c r="B2038" t="str">
        <v>MCC (multicrew cooperation) formation au travail en équipage</v>
      </c>
      <c r="C2038" t="str">
        <v>Direction générale de l'aviation civile</v>
      </c>
      <c r="D2038" t="str">
        <f>HYPERLINK("https://inventaire.cncp.gouv.fr/fiches/58/","58")</f>
        <v>58</v>
      </c>
      <c r="E2038" t="str">
        <f>HYPERLINK("http://www.intercariforef.org/formations/certification-84523.html","84523")</f>
        <v>84523</v>
      </c>
      <c r="F2038" s="1">
        <v>42114</v>
      </c>
      <c r="G2038" s="1">
        <v>42979</v>
      </c>
    </row>
    <row r="2039">
      <c r="A2039" t="str">
        <v>Transport</v>
      </c>
      <c r="B2039" t="str">
        <v>MCCI (multicrew cooperation instructeur) - Instructeur de travail en équipage</v>
      </c>
      <c r="C2039" t="str">
        <v>Direction générale de l'aviation civile</v>
      </c>
      <c r="D2039" t="str">
        <f>HYPERLINK("https://inventaire.cncp.gouv.fr/fiches/67/","67")</f>
        <v>67</v>
      </c>
      <c r="E2039" t="str">
        <f>HYPERLINK("http://www.intercariforef.org/formations/certification-84551.html","84551")</f>
        <v>84551</v>
      </c>
      <c r="F2039" s="1">
        <v>42114</v>
      </c>
      <c r="G2039" s="1">
        <v>42979</v>
      </c>
    </row>
    <row r="2040">
      <c r="A2040" t="str">
        <v>Transport</v>
      </c>
      <c r="B2040" t="str">
        <v>MPL (multipilote license) - licence multipilote</v>
      </c>
      <c r="C2040" t="str">
        <v>Direction générale de l'aviation civile</v>
      </c>
      <c r="D2040" t="str">
        <f>HYPERLINK("https://inventaire.cncp.gouv.fr/fiches/55/","55")</f>
        <v>55</v>
      </c>
      <c r="E2040" t="str">
        <f>HYPERLINK("http://www.intercariforef.org/formations/certification-84548.html","84548")</f>
        <v>84548</v>
      </c>
      <c r="F2040" s="1">
        <v>42114</v>
      </c>
      <c r="G2040" s="1">
        <v>42979</v>
      </c>
    </row>
    <row r="2041">
      <c r="A2041" t="str">
        <v>Transport</v>
      </c>
      <c r="B2041" t="str">
        <v>Parcours « Expert Signalisation / Communication »</v>
      </c>
      <c r="C2041" t="str">
        <v>Ecole supérieure des techniques aéronautiques et construction automobile (ESTACA)</v>
      </c>
      <c r="D2041" t="str">
        <f>HYPERLINK("https://inventaire.cncp.gouv.fr/fiches/2639/","2639")</f>
        <v>2639</v>
      </c>
      <c r="E2041" t="str">
        <f>HYPERLINK("http://www.intercariforef.org/formations/certification-94871.html","94871")</f>
        <v>94871</v>
      </c>
      <c r="F2041" s="1">
        <v>42836</v>
      </c>
      <c r="G2041" s="1">
        <v>42836</v>
      </c>
    </row>
    <row r="2042">
      <c r="A2042" t="str">
        <v>Transport</v>
      </c>
      <c r="B2042" t="str">
        <v>Parcours « Signalisation / Communication »</v>
      </c>
      <c r="C2042" t="str">
        <v>Ecole supérieure des techniques aéronautiques et construction automobile (ESTACA)</v>
      </c>
      <c r="D2042" t="str">
        <f>HYPERLINK("https://inventaire.cncp.gouv.fr/fiches/2638/","2638")</f>
        <v>2638</v>
      </c>
      <c r="E2042" t="str">
        <f>HYPERLINK("http://www.intercariforef.org/formations/certification-94881.html","94881")</f>
        <v>94881</v>
      </c>
      <c r="F2042" s="1">
        <v>42836</v>
      </c>
      <c r="G2042" s="1">
        <v>42836</v>
      </c>
    </row>
    <row r="2043">
      <c r="A2043" t="str">
        <v>Transport</v>
      </c>
      <c r="B2043" t="str">
        <v>Parcours spécialisation douanes, accises ou export control</v>
      </c>
      <c r="C2043" t="str">
        <v>Office de développement par l'automatisation et la simplification du commerce extérieur</v>
      </c>
      <c r="D2043" t="str">
        <f>HYPERLINK("https://inventaire.cncp.gouv.fr/fiches/1951/","1951")</f>
        <v>1951</v>
      </c>
      <c r="E2043" t="str">
        <f>HYPERLINK("http://www.intercariforef.org/formations/certification-90057.html","90057")</f>
        <v>90057</v>
      </c>
      <c r="F2043" s="1">
        <v>42558</v>
      </c>
      <c r="G2043" s="1">
        <v>42558</v>
      </c>
    </row>
    <row r="2044">
      <c r="A2044" t="str">
        <v>Transport</v>
      </c>
      <c r="B2044" t="str">
        <v>Pilotage de drone industriel automatisé</v>
      </c>
      <c r="C2044" t="str">
        <v>INSAVALOR</v>
      </c>
      <c r="D2044" t="str">
        <f>HYPERLINK("https://inventaire.cncp.gouv.fr/fiches/3382/","3382")</f>
        <v>3382</v>
      </c>
      <c r="E2044" t="str">
        <f>HYPERLINK("http://www.intercariforef.org/formations/certification-103955.html","103955")</f>
        <v>103955</v>
      </c>
      <c r="F2044" s="1">
        <v>43391</v>
      </c>
      <c r="G2044" s="1">
        <v>43391</v>
      </c>
    </row>
    <row r="2045">
      <c r="A2045" t="str">
        <v>Transport</v>
      </c>
      <c r="B2045" t="str">
        <v>Pilote de ligne (ATPL avion et hélicoptère)</v>
      </c>
      <c r="C2045" t="str">
        <v>Ministère de la transition écologique et solidaire, Direction générale de l'aviation civile</v>
      </c>
      <c r="D2045" t="str">
        <f>HYPERLINK("https://inventaire.cncp.gouv.fr/fiches/1589/","1589")</f>
        <v>1589</v>
      </c>
      <c r="E2045" t="str">
        <f>HYPERLINK("http://www.intercariforef.org/formations/certification-81346.html","81346")</f>
        <v>81346</v>
      </c>
      <c r="F2045" s="1">
        <v>41444</v>
      </c>
      <c r="G2045" s="1">
        <v>43111</v>
      </c>
    </row>
    <row r="2046">
      <c r="A2046" t="str">
        <v>Transport</v>
      </c>
      <c r="B2046" t="str">
        <v>Pilote professionnel (CPL / avion et hélicoptère)</v>
      </c>
      <c r="C2046" t="str">
        <v>Ministère de la transition écologique et solidaire, Direction générale de l'aviation civile</v>
      </c>
      <c r="D2046" t="str">
        <f>HYPERLINK("https://inventaire.cncp.gouv.fr/fiches/1591/","1591")</f>
        <v>1591</v>
      </c>
      <c r="E2046" t="str">
        <f>HYPERLINK("http://www.intercariforef.org/formations/certification-82260.html","82260")</f>
        <v>82260</v>
      </c>
      <c r="F2046" s="1">
        <v>41607</v>
      </c>
      <c r="G2046" s="1">
        <v>43343</v>
      </c>
    </row>
    <row r="2047" ht="26.2" customHeight="1">
      <c r="A2047" t="str">
        <v>Transport</v>
      </c>
      <c r="B2047" t="str">
        <v>Pompiers d'aérodrome - SSLIA (service de sauvetage et de lutte contre l'incendie des aéronefs sur les aérodromes)</v>
      </c>
      <c r="C2047" t="str">
        <v>Direction générale des infrastructures, des transports et de la mer</v>
      </c>
      <c r="D2047" t="str">
        <f>HYPERLINK("https://inventaire.cncp.gouv.fr/fiches/1454/","1454")</f>
        <v>1454</v>
      </c>
      <c r="E2047" t="str">
        <f>HYPERLINK("http://www.intercariforef.org/formations/certification-86405.html","86405")</f>
        <v>86405</v>
      </c>
      <c r="F2047" s="1">
        <v>42340</v>
      </c>
      <c r="G2047" s="1">
        <v>42979</v>
      </c>
    </row>
    <row r="2048">
      <c r="A2048" t="str">
        <v>Transport</v>
      </c>
      <c r="B2048" t="str">
        <v>Qualification au transport d'animaux vivants</v>
      </c>
      <c r="C2048" t="str">
        <v>Ministère de l'agriculture, de l'agroalimentaire et de la forêt</v>
      </c>
      <c r="D2048" t="str">
        <f>HYPERLINK("https://inventaire.cncp.gouv.fr/fiches/1534/","1534")</f>
        <v>1534</v>
      </c>
      <c r="E2048" t="str">
        <f>HYPERLINK("http://www.intercariforef.org/formations/certification-86403.html","86403")</f>
        <v>86403</v>
      </c>
      <c r="F2048" s="1">
        <v>42340</v>
      </c>
      <c r="G2048" s="1">
        <v>43017</v>
      </c>
    </row>
    <row r="2049">
      <c r="A2049" t="str">
        <v>Transport</v>
      </c>
      <c r="B2049" t="str">
        <v>Qualifications de classe et de type</v>
      </c>
      <c r="C2049" t="str">
        <v>Direction générale de l'aviation civile</v>
      </c>
      <c r="D2049" t="str">
        <f>HYPERLINK("https://inventaire.cncp.gouv.fr/fiches/70/","70")</f>
        <v>70</v>
      </c>
      <c r="E2049" t="str">
        <f>HYPERLINK("http://www.intercariforef.org/formations/certification-84515.html","84515")</f>
        <v>84515</v>
      </c>
      <c r="F2049" s="1">
        <v>42114</v>
      </c>
      <c r="G2049" s="1">
        <v>42979</v>
      </c>
    </row>
    <row r="2050" ht="26.2" customHeight="1">
      <c r="A2050" t="str">
        <v>Transport</v>
      </c>
      <c r="B2050" t="str">
        <v>Responsable du service SSLIA (service de sauvetage et de lutte contre l'incendie des aéronefs sur les aérodromes)</v>
      </c>
      <c r="C2050" t="str">
        <v>Direction générale des infrastructures, des transports et de la mer</v>
      </c>
      <c r="D2050" t="str">
        <f>HYPERLINK("https://inventaire.cncp.gouv.fr/fiches/1459/","1459")</f>
        <v>1459</v>
      </c>
      <c r="E2050" t="str">
        <f>HYPERLINK("http://www.intercariforef.org/formations/certification-86406.html","86406")</f>
        <v>86406</v>
      </c>
      <c r="F2050" s="1">
        <v>42340</v>
      </c>
      <c r="G2050" s="1">
        <v>42979</v>
      </c>
    </row>
    <row r="2051">
      <c r="A2051" t="str">
        <v>Transport</v>
      </c>
      <c r="B2051" t="str">
        <v>SFI (simulator flight instructor) Instructeur sur entraîneur synthétique de vol</v>
      </c>
      <c r="C2051" t="str">
        <v>Direction générale de l'aviation civile</v>
      </c>
      <c r="D2051" t="str">
        <f>HYPERLINK("https://inventaire.cncp.gouv.fr/fiches/66/","66")</f>
        <v>66</v>
      </c>
      <c r="E2051" t="str">
        <f>HYPERLINK("http://www.intercariforef.org/formations/certification-84516.html","84516")</f>
        <v>84516</v>
      </c>
      <c r="F2051" s="1">
        <v>42114</v>
      </c>
      <c r="G2051" s="1">
        <v>42979</v>
      </c>
    </row>
    <row r="2052">
      <c r="A2052" t="str">
        <v>Transport</v>
      </c>
      <c r="B2052" t="str">
        <v>Stage d'adaptation de l'exploitant ( personnel de cabine) SADE</v>
      </c>
      <c r="C2052" t="str">
        <v>Ministère de la transition écologique et solidaire, Direction générale de l'aviation civile</v>
      </c>
      <c r="D2052" t="str">
        <f>HYPERLINK("https://inventaire.cncp.gouv.fr/fiches/1100/","1100")</f>
        <v>1100</v>
      </c>
      <c r="E2052" t="str">
        <f>HYPERLINK("http://www.intercariforef.org/formations/certification-85641.html","85641")</f>
        <v>85641</v>
      </c>
      <c r="F2052" s="1">
        <v>42270</v>
      </c>
      <c r="G2052" s="1">
        <v>43111</v>
      </c>
    </row>
    <row r="2053">
      <c r="A2053" t="str">
        <v>Transport</v>
      </c>
      <c r="B2053" t="str">
        <v>Stage de formation à la fonction Commandant de Bord</v>
      </c>
      <c r="C2053" t="str">
        <v>Ministère de la transition écologique et solidaire</v>
      </c>
      <c r="D2053" t="str">
        <f>HYPERLINK("https://inventaire.cncp.gouv.fr/fiches/965/","965")</f>
        <v>965</v>
      </c>
      <c r="E2053" t="str">
        <f>HYPERLINK("http://www.intercariforef.org/formations/certification-85076.html","85076")</f>
        <v>85076</v>
      </c>
      <c r="F2053" s="1">
        <v>42185</v>
      </c>
      <c r="G2053" s="1">
        <v>43111</v>
      </c>
    </row>
    <row r="2054">
      <c r="A2054" t="str">
        <v>Transport</v>
      </c>
      <c r="B2054" t="str">
        <v>Sûreté de l'aviation civile - 11.2.2 - Formation de base</v>
      </c>
      <c r="C2054" t="str">
        <v>Direction générale de l'aviation civile</v>
      </c>
      <c r="D2054" t="str">
        <f>HYPERLINK("https://inventaire.cncp.gouv.fr/fiches/853/","853")</f>
        <v>853</v>
      </c>
      <c r="E2054" t="str">
        <f>HYPERLINK("http://www.intercariforef.org/formations/certification-85033.html","85033")</f>
        <v>85033</v>
      </c>
      <c r="F2054" s="1">
        <v>42185</v>
      </c>
      <c r="G2054" s="1">
        <v>42979</v>
      </c>
    </row>
    <row r="2055" ht="26.2" customHeight="1">
      <c r="A2055" t="str">
        <v>Transport</v>
      </c>
      <c r="B2055" t="str">
        <v>Sûreté de l'aviation civile - 11.2.3.1 - Inspection filtrage des personnes, des bagages de cabine, des articles transportés et des bagages de soute</v>
      </c>
      <c r="C2055" t="str">
        <v>Direction générale de l'aviation civile</v>
      </c>
      <c r="D2055" t="str">
        <f>HYPERLINK("https://inventaire.cncp.gouv.fr/fiches/938/","938")</f>
        <v>938</v>
      </c>
      <c r="E2055" t="str">
        <f>HYPERLINK("http://www.intercariforef.org/formations/certification-85059.html","85059")</f>
        <v>85059</v>
      </c>
      <c r="F2055" s="1">
        <v>42185</v>
      </c>
      <c r="G2055" s="1">
        <v>42979</v>
      </c>
    </row>
    <row r="2056" ht="39.3" customHeight="1">
      <c r="A2056" t="str">
        <v>Transport</v>
      </c>
      <c r="B2056" t="str">
        <v>Sûreté de l'aviation civile - 11.2.3.10 - contrôles de sûreté sur le courrier et le matériel des transporteurs aériens, les approvisionnements de bord et les fournitures d'aéroport, autres que l'inspection/le filtrage</v>
      </c>
      <c r="C2056" t="str">
        <v>Direction générale de l'aviation civile</v>
      </c>
      <c r="D2056" t="str">
        <f>HYPERLINK("https://inventaire.cncp.gouv.fr/fiches/963/","963")</f>
        <v>963</v>
      </c>
      <c r="E2056" t="str">
        <f>HYPERLINK("http://www.intercariforef.org/formations/certification-85073.html","85073")</f>
        <v>85073</v>
      </c>
      <c r="F2056" s="1">
        <v>42185</v>
      </c>
      <c r="G2056" s="1">
        <v>42979</v>
      </c>
    </row>
    <row r="2057">
      <c r="A2057" t="str">
        <v>Transport</v>
      </c>
      <c r="B2057" t="str">
        <v>Sûreté de l'aviation civile - 11.2.3.2 - Inspection filtrage du fret et du courrier</v>
      </c>
      <c r="C2057" t="str">
        <v>Direction générale de l'aviation civile</v>
      </c>
      <c r="D2057" t="str">
        <f>HYPERLINK("https://inventaire.cncp.gouv.fr/fiches/950/","950")</f>
        <v>950</v>
      </c>
      <c r="E2057" t="str">
        <f>HYPERLINK("http://www.intercariforef.org/formations/certification-85070.html","85070")</f>
        <v>85070</v>
      </c>
      <c r="F2057" s="1">
        <v>42185</v>
      </c>
      <c r="G2057" s="1">
        <v>42979</v>
      </c>
    </row>
    <row r="2058" ht="39.3" customHeight="1">
      <c r="A2058" t="str">
        <v>Transport</v>
      </c>
      <c r="B2058" t="str">
        <v>Sûreté de l'aviation civile - 11.2.3.3 - contrôle visuel et fouille manuelle du courrier et du matériel des transporteurs aériens, des approvisionnements de bord et des fournitures d'aéroport</v>
      </c>
      <c r="C2058" t="str">
        <v>Direction générale de l'aviation civile</v>
      </c>
      <c r="D2058" t="str">
        <f>HYPERLINK("https://inventaire.cncp.gouv.fr/fiches/957/","957")</f>
        <v>957</v>
      </c>
      <c r="E2058" t="str">
        <f>HYPERLINK("http://www.intercariforef.org/formations/certification-85032.html","85032")</f>
        <v>85032</v>
      </c>
      <c r="F2058" s="1">
        <v>42185</v>
      </c>
      <c r="G2058" s="1">
        <v>42979</v>
      </c>
    </row>
    <row r="2059" ht="26.2" customHeight="1">
      <c r="A2059" t="str">
        <v>Transport</v>
      </c>
      <c r="B2059" t="str">
        <v>Sûreté de l'aviation civile - 11.2.3.3 - Inspection filtrage du courrier et du matériel des transporteurs aériens, des approvisionnements de bord et des fournitures d'aéroport</v>
      </c>
      <c r="C2059" t="str">
        <v>Direction générale de l'aviation civile</v>
      </c>
      <c r="D2059" t="str">
        <f>HYPERLINK("https://inventaire.cncp.gouv.fr/fiches/952/","952")</f>
        <v>952</v>
      </c>
      <c r="E2059" t="str">
        <f>HYPERLINK("http://www.intercariforef.org/formations/certification-85031.html","85031")</f>
        <v>85031</v>
      </c>
      <c r="F2059" s="1">
        <v>42185</v>
      </c>
      <c r="G2059" s="1">
        <v>42979</v>
      </c>
    </row>
    <row r="2060">
      <c r="A2060" t="str">
        <v>Transport</v>
      </c>
      <c r="B2060" t="str">
        <v>Sûreté de l'aviation civile - 11.2.3.4 - Inspection des véhicules</v>
      </c>
      <c r="C2060" t="str">
        <v>Direction générale de l'aviation civile</v>
      </c>
      <c r="D2060" t="str">
        <f>HYPERLINK("https://inventaire.cncp.gouv.fr/fiches/954/","954")</f>
        <v>954</v>
      </c>
      <c r="E2060" t="str">
        <f>HYPERLINK("http://www.intercariforef.org/formations/certification-85027.html","85027")</f>
        <v>85027</v>
      </c>
      <c r="F2060" s="1">
        <v>42185</v>
      </c>
      <c r="G2060" s="1">
        <v>42979</v>
      </c>
    </row>
    <row r="2061" ht="26.2" customHeight="1">
      <c r="A2061" t="str">
        <v>Transport</v>
      </c>
      <c r="B2061" t="str">
        <v>Sûreté de l'aviation civile - 11.2.3.5 - contrôles d'accès à un aéroport et opérations de surveillance et de patrouille</v>
      </c>
      <c r="C2061" t="str">
        <v>Direction générale de l'aviation civile</v>
      </c>
      <c r="D2061" t="str">
        <f>HYPERLINK("https://inventaire.cncp.gouv.fr/fiches/956/","956")</f>
        <v>956</v>
      </c>
      <c r="E2061" t="str">
        <f>HYPERLINK("http://www.intercariforef.org/formations/certification-85071.html","85071")</f>
        <v>85071</v>
      </c>
      <c r="F2061" s="1">
        <v>42185</v>
      </c>
      <c r="G2061" s="1">
        <v>42979</v>
      </c>
    </row>
    <row r="2062">
      <c r="A2062" t="str">
        <v>Transport</v>
      </c>
      <c r="B2062" t="str">
        <v>Sûreté de l'aviation civile - 11.2.3.6 - fouilles de sûreté d'aéronefs</v>
      </c>
      <c r="C2062" t="str">
        <v>Direction générale de l'aviation civile</v>
      </c>
      <c r="D2062" t="str">
        <f>HYPERLINK("https://inventaire.cncp.gouv.fr/fiches/958/","958")</f>
        <v>958</v>
      </c>
      <c r="E2062" t="str">
        <f>HYPERLINK("http://www.intercariforef.org/formations/certification-85026.html","85026")</f>
        <v>85026</v>
      </c>
      <c r="F2062" s="1">
        <v>42185</v>
      </c>
      <c r="G2062" s="1">
        <v>42979</v>
      </c>
    </row>
    <row r="2063">
      <c r="A2063" t="str">
        <v>Transport</v>
      </c>
      <c r="B2063" t="str">
        <v>Sûreté de l'aviation civile - 11.2.3.7 - protection des aéronefs</v>
      </c>
      <c r="C2063" t="str">
        <v>Direction générale de l'aviation civile</v>
      </c>
      <c r="D2063" t="str">
        <f>HYPERLINK("https://inventaire.cncp.gouv.fr/fiches/959/","959")</f>
        <v>959</v>
      </c>
      <c r="E2063" t="str">
        <f>HYPERLINK("http://www.intercariforef.org/formations/certification-85030.html","85030")</f>
        <v>85030</v>
      </c>
      <c r="F2063" s="1">
        <v>42185</v>
      </c>
      <c r="G2063" s="1">
        <v>42979</v>
      </c>
    </row>
    <row r="2064">
      <c r="A2064" t="str">
        <v>Transport</v>
      </c>
      <c r="B2064" t="str">
        <v>Sûreté de l'aviation civile - 11.2.3.8 - vérification de concordance entre passagers et bagages</v>
      </c>
      <c r="C2064" t="str">
        <v>Direction générale de l'aviation civile</v>
      </c>
      <c r="D2064" t="str">
        <f>HYPERLINK("https://inventaire.cncp.gouv.fr/fiches/960/","960")</f>
        <v>960</v>
      </c>
      <c r="E2064" t="str">
        <f>HYPERLINK("http://www.intercariforef.org/formations/certification-85028.html","85028")</f>
        <v>85028</v>
      </c>
      <c r="F2064" s="1">
        <v>42185</v>
      </c>
      <c r="G2064" s="1">
        <v>42979</v>
      </c>
    </row>
    <row r="2065" ht="26.2" customHeight="1">
      <c r="A2065" t="str">
        <v>Transport</v>
      </c>
      <c r="B2065" t="str">
        <v>Sûreté de l'aviation civile - 11.2.3.9 - contrôles de sûreté sur le fret et le courrier, autres que l'inspection/le filtrage ou accès à du fret ou du courrier aérien identifiable</v>
      </c>
      <c r="C2065" t="str">
        <v>Direction générale de l'aviation civile</v>
      </c>
      <c r="D2065" t="str">
        <f>HYPERLINK("https://inventaire.cncp.gouv.fr/fiches/962/","962")</f>
        <v>962</v>
      </c>
      <c r="E2065" t="str">
        <f>HYPERLINK("http://www.intercariforef.org/formations/certification-85072.html","85072")</f>
        <v>85072</v>
      </c>
      <c r="F2065" s="1">
        <v>42185</v>
      </c>
      <c r="G2065" s="1">
        <v>42979</v>
      </c>
    </row>
    <row r="2066">
      <c r="A2066" t="str">
        <v>Transport</v>
      </c>
      <c r="B2066" t="str">
        <v>Sûreté de l'aviation civile - 11.2.4 - Formation spécifique des superviseurs</v>
      </c>
      <c r="C2066" t="str">
        <v>Direction générale de l'aviation civile</v>
      </c>
      <c r="D2066" t="str">
        <f>HYPERLINK("https://inventaire.cncp.gouv.fr/fiches/935/","935")</f>
        <v>935</v>
      </c>
      <c r="E2066" t="str">
        <f>HYPERLINK("http://www.intercariforef.org/formations/certification-85057.html","85057")</f>
        <v>85057</v>
      </c>
      <c r="F2066" s="1">
        <v>42185</v>
      </c>
      <c r="G2066" s="1">
        <v>42979</v>
      </c>
    </row>
    <row r="2067">
      <c r="A2067" t="str">
        <v>Transport</v>
      </c>
      <c r="B2067" t="str">
        <v>Sûreté de l'aviation civile - 11.2.5 - gestionnaires de la sûreté</v>
      </c>
      <c r="C2067" t="str">
        <v>Direction générale de l'aviation civile</v>
      </c>
      <c r="D2067" t="str">
        <f>HYPERLINK("https://inventaire.cncp.gouv.fr/fiches/964/","964")</f>
        <v>964</v>
      </c>
      <c r="E2067" t="str">
        <f>HYPERLINK("http://www.intercariforef.org/formations/certification-85074.html","85074")</f>
        <v>85074</v>
      </c>
      <c r="F2067" s="1">
        <v>42185</v>
      </c>
      <c r="G2067" s="1">
        <v>42979</v>
      </c>
    </row>
    <row r="2068" ht="39.3" customHeight="1">
      <c r="A2068" t="str">
        <v>Transport</v>
      </c>
      <c r="B2068" t="str">
        <v>Sûreté de l'aviation civile - 11.2.6.2 - formation des personnels autre que les passagers qui doivent bénéficier d'un accès sans escorte aux zones de sûreté à accès réglementé des aérodromes</v>
      </c>
      <c r="C2068" t="str">
        <v>Direction générale de l'aviation civile</v>
      </c>
      <c r="D2068" t="str">
        <f>HYPERLINK("https://inventaire.cncp.gouv.fr/fiches/977/","977")</f>
        <v>977</v>
      </c>
      <c r="E2068" t="str">
        <f>HYPERLINK("http://www.intercariforef.org/formations/certification-85069.html","85069")</f>
        <v>85069</v>
      </c>
      <c r="F2068" s="1">
        <v>42185</v>
      </c>
      <c r="G2068" s="1">
        <v>42979</v>
      </c>
    </row>
    <row r="2069" ht="26.2" customHeight="1">
      <c r="A2069" t="str">
        <v>Transport</v>
      </c>
      <c r="B2069" t="str">
        <v>Sûreté de l'aviation civile - 11.2.7 - formation des personnes nécessitant une sensibilisation à la sûreté générale</v>
      </c>
      <c r="C2069" t="str">
        <v>Direction générale de l'aviation civile</v>
      </c>
      <c r="D2069" t="str">
        <f>HYPERLINK("https://inventaire.cncp.gouv.fr/fiches/978/","978")</f>
        <v>978</v>
      </c>
      <c r="E2069" t="str">
        <f>HYPERLINK("http://www.intercariforef.org/formations/certification-85068.html","85068")</f>
        <v>85068</v>
      </c>
      <c r="F2069" s="1">
        <v>42185</v>
      </c>
      <c r="G2069" s="1">
        <v>42979</v>
      </c>
    </row>
    <row r="2070">
      <c r="A2070" t="str">
        <v>Transport</v>
      </c>
      <c r="B2070" t="str">
        <v>Sûreté de l'aviation civile - 11.4 - formation périodique sans imagerie</v>
      </c>
      <c r="C2070" t="str">
        <v>Direction générale de l'aviation civile</v>
      </c>
      <c r="D2070" t="str">
        <f>HYPERLINK("https://inventaire.cncp.gouv.fr/fiches/979/","979")</f>
        <v>979</v>
      </c>
      <c r="E2070" t="str">
        <f>HYPERLINK("http://www.intercariforef.org/formations/certification-85066.html","85066")</f>
        <v>85066</v>
      </c>
      <c r="F2070" s="1">
        <v>42185</v>
      </c>
      <c r="G2070" s="1">
        <v>42979</v>
      </c>
    </row>
    <row r="2071">
      <c r="A2071" t="str">
        <v>Transport</v>
      </c>
      <c r="B2071" t="str">
        <v>Sûreté de l'aviation civile - 11.5 - formation initiale instructeur certifié</v>
      </c>
      <c r="C2071" t="str">
        <v>Direction générale de l'aviation civile</v>
      </c>
      <c r="D2071" t="str">
        <f>HYPERLINK("https://inventaire.cncp.gouv.fr/fiches/980/","980")</f>
        <v>980</v>
      </c>
      <c r="E2071" t="str">
        <f>HYPERLINK("http://www.intercariforef.org/formations/certification-85065.html","85065")</f>
        <v>85065</v>
      </c>
      <c r="F2071" s="1">
        <v>42185</v>
      </c>
      <c r="G2071" s="1">
        <v>42979</v>
      </c>
    </row>
    <row r="2072">
      <c r="A2072" t="str">
        <v>Transport</v>
      </c>
      <c r="B2072" t="str">
        <v>Sûreté de l'aviation civile - 11.5 - formation périodique instructeur certifié</v>
      </c>
      <c r="C2072" t="str">
        <v>Direction générale de l'aviation civile</v>
      </c>
      <c r="D2072" t="str">
        <f>HYPERLINK("https://inventaire.cncp.gouv.fr/fiches/984/","984")</f>
        <v>984</v>
      </c>
      <c r="E2072" t="str">
        <f>HYPERLINK("http://www.intercariforef.org/formations/certification-85064.html","85064")</f>
        <v>85064</v>
      </c>
      <c r="F2072" s="1">
        <v>42185</v>
      </c>
      <c r="G2072" s="1">
        <v>42979</v>
      </c>
    </row>
    <row r="2073">
      <c r="A2073" t="str">
        <v>Transport</v>
      </c>
      <c r="B2073" t="str">
        <v>Sûreté de l'aviation civile - 12.9 - formation initiale équipe cynotechnique</v>
      </c>
      <c r="C2073" t="str">
        <v>Direction générale de l'aviation civile</v>
      </c>
      <c r="D2073" t="str">
        <f>HYPERLINK("https://inventaire.cncp.gouv.fr/fiches/985/","985")</f>
        <v>985</v>
      </c>
      <c r="E2073" t="str">
        <f>HYPERLINK("http://www.intercariforef.org/formations/certification-85062.html","85062")</f>
        <v>85062</v>
      </c>
      <c r="F2073" s="1">
        <v>42185</v>
      </c>
      <c r="G2073" s="1">
        <v>42979</v>
      </c>
    </row>
    <row r="2074">
      <c r="A2074" t="str">
        <v>Transport</v>
      </c>
      <c r="B2074" t="str">
        <v>Sûreté de l'aviation civile - 12.9 - formation périodique équipe cynotechnique</v>
      </c>
      <c r="C2074" t="str">
        <v>Direction générale de l'aviation civile</v>
      </c>
      <c r="D2074" t="str">
        <f>HYPERLINK("https://inventaire.cncp.gouv.fr/fiches/986/","986")</f>
        <v>986</v>
      </c>
      <c r="E2074" t="str">
        <f>HYPERLINK("http://www.intercariforef.org/formations/certification-85060.html","85060")</f>
        <v>85060</v>
      </c>
      <c r="F2074" s="1">
        <v>42185</v>
      </c>
      <c r="G2074" s="1">
        <v>42979</v>
      </c>
    </row>
    <row r="2075">
      <c r="A2075" t="str">
        <v>Transport</v>
      </c>
      <c r="B2075" t="str">
        <v>TRE - examinateurs de qualification de type</v>
      </c>
      <c r="C2075" t="str">
        <v>Direction générale de l'aviation civile</v>
      </c>
      <c r="D2075" t="str">
        <f>HYPERLINK("https://inventaire.cncp.gouv.fr/fiches/103/","103")</f>
        <v>103</v>
      </c>
      <c r="E2075" t="str">
        <f>HYPERLINK("http://www.intercariforef.org/formations/certification-84514.html","84514")</f>
        <v>84514</v>
      </c>
      <c r="F2075" s="1">
        <v>42114</v>
      </c>
      <c r="G2075" s="1">
        <v>42979</v>
      </c>
    </row>
    <row r="2076">
      <c r="A2076" t="str">
        <v>Transport</v>
      </c>
      <c r="B2076" t="str">
        <v>TRI (Type rating instructor) Instructeur de qualification de type</v>
      </c>
      <c r="C2076" t="str">
        <v>Direction générale de l'aviation civile</v>
      </c>
      <c r="D2076" t="str">
        <f>HYPERLINK("https://inventaire.cncp.gouv.fr/fiches/62/","62")</f>
        <v>62</v>
      </c>
      <c r="E2076" t="str">
        <f>HYPERLINK("http://www.intercariforef.org/formations/certification-84530.html","84530")</f>
        <v>84530</v>
      </c>
      <c r="F2076" s="1">
        <v>42114</v>
      </c>
      <c r="G2076" s="1">
        <v>42979</v>
      </c>
    </row>
    <row r="2077">
      <c r="A2077" t="str">
        <v>Travail matériau, soudure</v>
      </c>
      <c r="B2077" t="str">
        <v>Agent d'Inspection International en Soudage (IWIPS ou IWIPC)</v>
      </c>
      <c r="C2077" t="str">
        <v>Institut de soudure - Ecole d'adaptation aux professions du soudage (EAPS)</v>
      </c>
      <c r="D2077" t="str">
        <f>HYPERLINK("https://inventaire.cncp.gouv.fr/fiches/551/","551")</f>
        <v>551</v>
      </c>
      <c r="E2077" t="str">
        <f>HYPERLINK("http://www.intercariforef.org/formations/certification-84856.html","84856")</f>
        <v>84856</v>
      </c>
      <c r="F2077" s="1">
        <v>42177</v>
      </c>
      <c r="G2077" s="1">
        <v>42979</v>
      </c>
    </row>
    <row r="2078">
      <c r="A2078" t="str">
        <v>Travail matériau, soudure</v>
      </c>
      <c r="B2078" t="str">
        <v>Certification " Mastercam - CFAO électro érosion par fil 2 à 4 axes "</v>
      </c>
      <c r="C2078" t="str">
        <v>YP Technologie</v>
      </c>
      <c r="D2078" t="str">
        <f>HYPERLINK("https://inventaire.cncp.gouv.fr/fiches/2007/","2007")</f>
        <v>2007</v>
      </c>
      <c r="E2078" t="str">
        <f>HYPERLINK("http://www.intercariforef.org/formations/certification-88567.html","88567")</f>
        <v>88567</v>
      </c>
      <c r="F2078" s="1">
        <v>42481</v>
      </c>
      <c r="G2078" s="1">
        <v>42481</v>
      </c>
    </row>
    <row r="2079">
      <c r="A2079" t="str">
        <v>Travail matériau, soudure</v>
      </c>
      <c r="B2079" t="str">
        <v>Certification " Mastercam - CFAO fraisage 2,5 axes "</v>
      </c>
      <c r="C2079" t="str">
        <v>YP Technologie</v>
      </c>
      <c r="D2079" t="str">
        <f>HYPERLINK("https://inventaire.cncp.gouv.fr/fiches/2008/","2008")</f>
        <v>2008</v>
      </c>
      <c r="E2079" t="str">
        <f>HYPERLINK("http://www.intercariforef.org/formations/certification-88565.html","88565")</f>
        <v>88565</v>
      </c>
      <c r="F2079" s="1">
        <v>42481</v>
      </c>
      <c r="G2079" s="1">
        <v>42481</v>
      </c>
    </row>
    <row r="2080">
      <c r="A2080" t="str">
        <v>Travail matériau, soudure</v>
      </c>
      <c r="B2080" t="str">
        <v>Certification " Mastercam - CFAO fraisage 3 axes "</v>
      </c>
      <c r="C2080" t="str">
        <v>YP Technologie</v>
      </c>
      <c r="D2080" t="str">
        <f>HYPERLINK("https://inventaire.cncp.gouv.fr/fiches/2002/","2002")</f>
        <v>2002</v>
      </c>
      <c r="E2080" t="str">
        <f>HYPERLINK("http://www.intercariforef.org/formations/certification-88557.html","88557")</f>
        <v>88557</v>
      </c>
      <c r="F2080" s="1">
        <v>42481</v>
      </c>
      <c r="G2080" s="1">
        <v>42481</v>
      </c>
    </row>
    <row r="2081">
      <c r="A2081" t="str">
        <v>Travail matériau, soudure</v>
      </c>
      <c r="B2081" t="str">
        <v>Certification " Mastercam - CFAO fraisage 5 axes simultanés "</v>
      </c>
      <c r="C2081" t="str">
        <v>YP Technologie</v>
      </c>
      <c r="D2081" t="str">
        <f>HYPERLINK("https://inventaire.cncp.gouv.fr/fiches/2004/","2004")</f>
        <v>2004</v>
      </c>
      <c r="E2081" t="str">
        <f>HYPERLINK("http://www.intercariforef.org/formations/certification-88559.html","88559")</f>
        <v>88559</v>
      </c>
      <c r="F2081" s="1">
        <v>42481</v>
      </c>
      <c r="G2081" s="1">
        <v>42481</v>
      </c>
    </row>
    <row r="2082">
      <c r="A2082" t="str">
        <v>Travail matériau, soudure</v>
      </c>
      <c r="B2082" t="str">
        <v>Certification " Mastercam - CFAO Modélisation 3D "</v>
      </c>
      <c r="C2082" t="str">
        <v>YP Technologie</v>
      </c>
      <c r="D2082" t="str">
        <f>HYPERLINK("https://inventaire.cncp.gouv.fr/fiches/2005/","2005")</f>
        <v>2005</v>
      </c>
      <c r="E2082" t="str">
        <f>HYPERLINK("http://www.intercariforef.org/formations/certification-88561.html","88561")</f>
        <v>88561</v>
      </c>
      <c r="F2082" s="1">
        <v>42481</v>
      </c>
      <c r="G2082" s="1">
        <v>42481</v>
      </c>
    </row>
    <row r="2083">
      <c r="A2083" t="str">
        <v>Travail matériau, soudure</v>
      </c>
      <c r="B2083" t="str">
        <v>Certification " Mastercam - CFAO Tournage 2 axes et axe C "</v>
      </c>
      <c r="C2083" t="str">
        <v>YP Technologie</v>
      </c>
      <c r="D2083" t="str">
        <f>HYPERLINK("https://inventaire.cncp.gouv.fr/fiches/2006/","2006")</f>
        <v>2006</v>
      </c>
      <c r="E2083" t="str">
        <f>HYPERLINK("http://www.intercariforef.org/formations/certification-88563.html","88563")</f>
        <v>88563</v>
      </c>
      <c r="F2083" s="1">
        <v>42481</v>
      </c>
      <c r="G2083" s="1">
        <v>42481</v>
      </c>
    </row>
    <row r="2084" ht="26.2" customHeight="1">
      <c r="A2084" t="str">
        <v>Travail matériau, soudure</v>
      </c>
      <c r="B2084" t="str">
        <v>Certification de l'Association pour la Certification et la Qualification en Peinture Anticorrosion (ACQPA) - Inspecteur</v>
      </c>
      <c r="C2084" t="str">
        <v>Association pour la Certification et la Qualification en Peinture Anticorrosion</v>
      </c>
      <c r="D2084" t="str">
        <f>HYPERLINK("https://inventaire.cncp.gouv.fr/fiches/975/","975")</f>
        <v>975</v>
      </c>
      <c r="E2084" t="str">
        <f>HYPERLINK("http://www.intercariforef.org/formations/certification-85075.html","85075")</f>
        <v>85075</v>
      </c>
      <c r="F2084" s="1">
        <v>42185</v>
      </c>
      <c r="G2084" s="1">
        <v>42979</v>
      </c>
    </row>
    <row r="2085" ht="26.2" customHeight="1">
      <c r="A2085" t="str">
        <v>Travail matériau, soudure</v>
      </c>
      <c r="B2085" t="str">
        <v>Certification de l'Association pour la Certification et la Qualification en Peinture Anticorrosion (ACQPA) - Opérateurs Niveau 1 et Niveau 2</v>
      </c>
      <c r="C2085" t="str">
        <v>Association pour la Certification et la Qualification en Peinture Anticorrosion</v>
      </c>
      <c r="D2085" t="str">
        <f>HYPERLINK("https://inventaire.cncp.gouv.fr/fiches/827/","827")</f>
        <v>827</v>
      </c>
      <c r="E2085" t="str">
        <f>HYPERLINK("http://www.intercariforef.org/formations/certification-85046.html","85046")</f>
        <v>85046</v>
      </c>
      <c r="F2085" s="1">
        <v>42185</v>
      </c>
      <c r="G2085" s="1">
        <v>42185</v>
      </c>
    </row>
    <row r="2086" ht="26.2" customHeight="1">
      <c r="A2086" t="str">
        <v>Travail matériau, soudure</v>
      </c>
      <c r="B2086" t="str">
        <v>Certification de l'Association pour la Certification et la Qualification en Peinture Anticorrosion (ACQPA) - Opérateurs Niveau 3</v>
      </c>
      <c r="C2086" t="str">
        <v>Association pour la Certification et la Qualification en Peinture Anticorrosion</v>
      </c>
      <c r="D2086" t="str">
        <f>HYPERLINK("https://inventaire.cncp.gouv.fr/fiches/970/","970")</f>
        <v>970</v>
      </c>
      <c r="E2086" t="str">
        <f>HYPERLINK("http://www.intercariforef.org/formations/certification-85080.html","85080")</f>
        <v>85080</v>
      </c>
      <c r="F2086" s="1">
        <v>42185</v>
      </c>
      <c r="G2086" s="1">
        <v>42185</v>
      </c>
    </row>
    <row r="2087">
      <c r="A2087" t="str">
        <v>Travail matériau, soudure</v>
      </c>
      <c r="B2087" t="str">
        <v>Coordonnateur en soudage de structures métalliques en acier selon EN 1090-2 (EWCP)</v>
      </c>
      <c r="C2087" t="str">
        <v>CPNE de la métallurgie, Institut de soudure</v>
      </c>
      <c r="D2087" t="str">
        <f>HYPERLINK("https://inventaire.cncp.gouv.fr/fiches/1301/","1301")</f>
        <v>1301</v>
      </c>
      <c r="E2087" t="str">
        <f>HYPERLINK("http://www.intercariforef.org/formations/certification-85587.html","85587")</f>
        <v>85587</v>
      </c>
      <c r="F2087" s="1">
        <v>42269</v>
      </c>
      <c r="G2087" s="1">
        <v>42269</v>
      </c>
    </row>
    <row r="2088">
      <c r="A2088" t="str">
        <v>Travail matériau, soudure</v>
      </c>
      <c r="B2088" t="str">
        <v>Ingénieur International en soudage (IWE)</v>
      </c>
      <c r="C2088" t="str">
        <v>Institut de soudure - Ecole d'adaptation aux professions du soudage (EAPS)</v>
      </c>
      <c r="D2088" t="str">
        <f>HYPERLINK("https://inventaire.cncp.gouv.fr/fiches/545/","545")</f>
        <v>545</v>
      </c>
      <c r="E2088" t="str">
        <f>HYPERLINK("http://www.intercariforef.org/formations/certification-84602.html","84602")</f>
        <v>84602</v>
      </c>
      <c r="F2088" s="1">
        <v>42142</v>
      </c>
      <c r="G2088" s="1">
        <v>42142</v>
      </c>
    </row>
    <row r="2089">
      <c r="A2089" t="str">
        <v>Travail matériau, soudure</v>
      </c>
      <c r="B2089" t="str">
        <v>Opérateurs et chargés de travaux en peinture anticorrosion sur pylônes de transport d'électricité</v>
      </c>
      <c r="C2089" t="str">
        <v>EDF, Groupement des entrepreneurs de peinture industrielle</v>
      </c>
      <c r="D2089" t="str">
        <f>HYPERLINK("https://inventaire.cncp.gouv.fr/fiches/1258/","1258")</f>
        <v>1258</v>
      </c>
      <c r="E2089" t="str">
        <f>HYPERLINK("http://www.intercariforef.org/formations/certification-86469.html","86469")</f>
        <v>86469</v>
      </c>
      <c r="F2089" s="1">
        <v>42342</v>
      </c>
      <c r="G2089" s="1">
        <v>42342</v>
      </c>
    </row>
    <row r="2090">
      <c r="A2090" t="str">
        <v>Travail matériau, soudure</v>
      </c>
      <c r="B2090" t="str">
        <v>Praticien International en Soudage (IWP)</v>
      </c>
      <c r="C2090" t="str">
        <v>Institut de soudure</v>
      </c>
      <c r="D2090" t="str">
        <f>HYPERLINK("https://inventaire.cncp.gouv.fr/fiches/549/","549")</f>
        <v>549</v>
      </c>
      <c r="E2090" t="str">
        <f>HYPERLINK("http://www.intercariforef.org/formations/certification-84858.html","84858")</f>
        <v>84858</v>
      </c>
      <c r="F2090" s="1">
        <v>42177</v>
      </c>
      <c r="G2090" s="1">
        <v>42177</v>
      </c>
    </row>
    <row r="2091">
      <c r="A2091" t="str">
        <v>Travail matériau, soudure</v>
      </c>
      <c r="B2091" t="str">
        <v>Qualification braseur et opérateur braseur en brasage fort suivant la NF EN ISO 13585</v>
      </c>
      <c r="C2091" t="str">
        <v>Institut de soudure - Ecole d'adaptation aux professions du soudage (EAPS)</v>
      </c>
      <c r="D2091" t="str">
        <f>HYPERLINK("https://inventaire.cncp.gouv.fr/fiches/679/","679")</f>
        <v>679</v>
      </c>
      <c r="E2091" t="str">
        <f>HYPERLINK("http://www.intercariforef.org/formations/certification-84862.html","84862")</f>
        <v>84862</v>
      </c>
      <c r="F2091" s="1">
        <v>42177</v>
      </c>
      <c r="G2091" s="1">
        <v>42177</v>
      </c>
    </row>
    <row r="2092" ht="26.2" customHeight="1">
      <c r="A2092" t="str">
        <v>Travail matériau, soudure</v>
      </c>
      <c r="B2092" t="str">
        <v>Qualification braseur et opérateur braseur en brasage pour système de réfrigération et pompes à chaleur suivant NF EN 14276-1 Annexe B</v>
      </c>
      <c r="C2092" t="str">
        <v>Institut de soudure - Ecole d'adaptation aux professions du soudage (EAPS)</v>
      </c>
      <c r="D2092" t="str">
        <f>HYPERLINK("https://inventaire.cncp.gouv.fr/fiches/680/","680")</f>
        <v>680</v>
      </c>
      <c r="E2092" t="str">
        <f>HYPERLINK("http://www.intercariforef.org/formations/certification-84864.html","84864")</f>
        <v>84864</v>
      </c>
      <c r="F2092" s="1">
        <v>42177</v>
      </c>
      <c r="G2092" s="1">
        <v>42979</v>
      </c>
    </row>
    <row r="2093">
      <c r="A2093" t="str">
        <v>Travail matériau, soudure</v>
      </c>
      <c r="B2093" t="str">
        <v>Qualification de soudeur suivant ASME, section IX</v>
      </c>
      <c r="C2093" t="str">
        <v>Institut de soudure - Ecole d'adaptation aux professions du soudage (EAPS)</v>
      </c>
      <c r="D2093" t="str">
        <f>HYPERLINK("https://inventaire.cncp.gouv.fr/fiches/668/","668")</f>
        <v>668</v>
      </c>
      <c r="E2093" t="str">
        <f>HYPERLINK("http://www.intercariforef.org/formations/certification-84866.html","84866")</f>
        <v>84866</v>
      </c>
      <c r="F2093" s="1">
        <v>42177</v>
      </c>
      <c r="G2093" s="1">
        <v>42979</v>
      </c>
    </row>
    <row r="2094">
      <c r="A2094" t="str">
        <v>Travail matériau, soudure</v>
      </c>
      <c r="B2094" t="str">
        <v>Qualification de soudeur suivant la norme ATG-B 527-9</v>
      </c>
      <c r="C2094" t="str">
        <v>APAVE</v>
      </c>
      <c r="D2094" t="str">
        <f>HYPERLINK("https://inventaire.cncp.gouv.fr/fiches/372/","372")</f>
        <v>372</v>
      </c>
      <c r="E2094" t="str">
        <f>HYPERLINK("http://www.intercariforef.org/formations/certification-84570.html","84570")</f>
        <v>84570</v>
      </c>
      <c r="F2094" s="1">
        <v>42129</v>
      </c>
      <c r="G2094" s="1">
        <v>42129</v>
      </c>
    </row>
    <row r="2095">
      <c r="A2095" t="str">
        <v>Travail matériau, soudure</v>
      </c>
      <c r="B2095" t="str">
        <v>Qualification de soudeur suivant la norme ATG-B 540-9</v>
      </c>
      <c r="C2095" t="str">
        <v>APAVE</v>
      </c>
      <c r="D2095" t="str">
        <f>HYPERLINK("https://inventaire.cncp.gouv.fr/fiches/374/","374")</f>
        <v>374</v>
      </c>
      <c r="E2095" t="str">
        <f>HYPERLINK("http://www.intercariforef.org/formations/certification-84569.html","84569")</f>
        <v>84569</v>
      </c>
      <c r="F2095" s="1">
        <v>42129</v>
      </c>
      <c r="G2095" s="1">
        <v>42129</v>
      </c>
    </row>
    <row r="2096">
      <c r="A2096" t="str">
        <v>Travail matériau, soudure</v>
      </c>
      <c r="B2096" t="str">
        <v>Qualification de soudeur suivant la norme NF EN ISO 9606-1 (anciennement NF EN 287-1)</v>
      </c>
      <c r="C2096" t="str">
        <v>APAVE</v>
      </c>
      <c r="D2096" t="str">
        <f>HYPERLINK("https://inventaire.cncp.gouv.fr/fiches/365/","365")</f>
        <v>365</v>
      </c>
      <c r="E2096" t="str">
        <f>HYPERLINK("http://www.intercariforef.org/formations/certification-84564.html","84564")</f>
        <v>84564</v>
      </c>
      <c r="F2096" s="1">
        <v>42129</v>
      </c>
      <c r="G2096" s="1">
        <v>42129</v>
      </c>
    </row>
    <row r="2097">
      <c r="A2097" t="str">
        <v>Travail matériau, soudure</v>
      </c>
      <c r="B2097" t="str">
        <v>Qualification de soudeur suivant la norme NF EN ISO 9606-2 (anciennement NF EN 287-2)</v>
      </c>
      <c r="C2097" t="str">
        <v>APAVE</v>
      </c>
      <c r="D2097" t="str">
        <f>HYPERLINK("https://inventaire.cncp.gouv.fr/fiches/366/","366")</f>
        <v>366</v>
      </c>
      <c r="E2097" t="str">
        <f>HYPERLINK("http://www.intercariforef.org/formations/certification-84565.html","84565")</f>
        <v>84565</v>
      </c>
      <c r="F2097" s="1">
        <v>42129</v>
      </c>
      <c r="G2097" s="1">
        <v>42129</v>
      </c>
    </row>
    <row r="2098">
      <c r="A2098" t="str">
        <v>Travail matériau, soudure</v>
      </c>
      <c r="B2098" t="str">
        <v>Qualification de soudeur suivant RCCM</v>
      </c>
      <c r="C2098" t="str">
        <v>Institut de soudure - Ecole d'adaptation aux professions du soudage (EAPS)</v>
      </c>
      <c r="D2098" t="str">
        <f>HYPERLINK("https://inventaire.cncp.gouv.fr/fiches/673/","673")</f>
        <v>673</v>
      </c>
      <c r="E2098" t="str">
        <f>HYPERLINK("http://www.intercariforef.org/formations/certification-84867.html","84867")</f>
        <v>84867</v>
      </c>
      <c r="F2098" s="1">
        <v>42177</v>
      </c>
      <c r="G2098" s="1">
        <v>42979</v>
      </c>
    </row>
    <row r="2099">
      <c r="A2099" t="str">
        <v>Travail matériau, soudure</v>
      </c>
      <c r="B2099" t="str">
        <v>Qualification de soudeur sur cuivre suivant la norme NF EN ISO 9606-3</v>
      </c>
      <c r="C2099" t="str">
        <v>APAVE</v>
      </c>
      <c r="D2099" t="str">
        <f>HYPERLINK("https://inventaire.cncp.gouv.fr/fiches/367/","367")</f>
        <v>367</v>
      </c>
      <c r="E2099" t="str">
        <f>HYPERLINK("http://www.intercariforef.org/formations/certification-84567.html","84567")</f>
        <v>84567</v>
      </c>
      <c r="F2099" s="1">
        <v>42129</v>
      </c>
      <c r="G2099" s="1">
        <v>42129</v>
      </c>
    </row>
    <row r="2100">
      <c r="A2100" t="str">
        <v>Travail matériau, soudure</v>
      </c>
      <c r="B2100" t="str">
        <v>Qualification de soudeur sur nickel suivant la norme NF EN ISO 9606-4</v>
      </c>
      <c r="C2100" t="str">
        <v>APAVE</v>
      </c>
      <c r="D2100" t="str">
        <f>HYPERLINK("https://inventaire.cncp.gouv.fr/fiches/369/","369")</f>
        <v>369</v>
      </c>
      <c r="E2100" t="str">
        <f>HYPERLINK("http://www.intercariforef.org/formations/certification-84568.html","84568")</f>
        <v>84568</v>
      </c>
      <c r="F2100" s="1">
        <v>42129</v>
      </c>
      <c r="G2100" s="1">
        <v>42129</v>
      </c>
    </row>
    <row r="2101">
      <c r="A2101" t="str">
        <v>Travail matériau, soudure</v>
      </c>
      <c r="B2101" t="str">
        <v>Qualification de soudeur sur Titane ou zirconium suivant la norme NF EN ISO 9606-5</v>
      </c>
      <c r="C2101" t="str">
        <v>APAVE</v>
      </c>
      <c r="D2101" t="str">
        <f>HYPERLINK("https://inventaire.cncp.gouv.fr/fiches/370/","370")</f>
        <v>370</v>
      </c>
      <c r="E2101" t="str">
        <f>HYPERLINK("http://www.intercariforef.org/formations/certification-84566.html","84566")</f>
        <v>84566</v>
      </c>
      <c r="F2101" s="1">
        <v>42129</v>
      </c>
      <c r="G2101" s="1">
        <v>42129</v>
      </c>
    </row>
    <row r="2102" ht="26.2" customHeight="1">
      <c r="A2102" t="str">
        <v>Travail matériau, soudure</v>
      </c>
      <c r="B2102" t="str">
        <v>Qualification de soudeurs et d'opérateurs pour applications aérospatiales suivant NF EN ISO 24394 (anciennement AIR 0191 )</v>
      </c>
      <c r="C2102" t="str">
        <v>Institut de soudure - Ecole d'adaptation aux professions du soudage (EAPS)</v>
      </c>
      <c r="D2102" t="str">
        <f>HYPERLINK("https://inventaire.cncp.gouv.fr/fiches/676/","676")</f>
        <v>676</v>
      </c>
      <c r="E2102" t="str">
        <f>HYPERLINK("http://www.intercariforef.org/formations/certification-84868.html","84868")</f>
        <v>84868</v>
      </c>
      <c r="F2102" s="1">
        <v>42177</v>
      </c>
      <c r="G2102" s="1">
        <v>42177</v>
      </c>
    </row>
    <row r="2103">
      <c r="A2103" t="str">
        <v>Travail matériau, soudure</v>
      </c>
      <c r="B2103" t="str">
        <v>Qualification d'opérateur polyéthylène suivant la norme NF EN ISO 13067</v>
      </c>
      <c r="C2103" t="str">
        <v>APAVE, ASAP, Bureau Veritas</v>
      </c>
      <c r="D2103" t="str">
        <f>HYPERLINK("https://inventaire.cncp.gouv.fr/fiches/1305/","1305")</f>
        <v>1305</v>
      </c>
      <c r="E2103" t="str">
        <f>HYPERLINK("http://www.intercariforef.org/formations/certification-86218.html","86218")</f>
        <v>86218</v>
      </c>
      <c r="F2103" s="1">
        <v>42320</v>
      </c>
      <c r="G2103" s="1">
        <v>42320</v>
      </c>
    </row>
    <row r="2104">
      <c r="A2104" t="str">
        <v>Travail matériau, soudure</v>
      </c>
      <c r="B2104" t="str">
        <v>Qualification d'opérateur soudeur suivant la NF EN ISO 14732</v>
      </c>
      <c r="C2104" t="str">
        <v>Institut de soudure - Ecole d'adaptation aux professions du soudage (EAPS)</v>
      </c>
      <c r="D2104" t="str">
        <f>HYPERLINK("https://inventaire.cncp.gouv.fr/fiches/682/","682")</f>
        <v>682</v>
      </c>
      <c r="E2104" t="str">
        <f>HYPERLINK("http://www.intercariforef.org/formations/certification-84877.html","84877")</f>
        <v>84877</v>
      </c>
      <c r="F2104" s="1">
        <v>42177</v>
      </c>
      <c r="G2104" s="1">
        <v>42979</v>
      </c>
    </row>
    <row r="2105">
      <c r="A2105" t="str">
        <v>Travail matériau, soudure</v>
      </c>
      <c r="B2105" t="str">
        <v>Réalisation d'assemblage permanent par soudage</v>
      </c>
      <c r="C2105" t="str">
        <v>Ministère de la transition écologique et solidaire</v>
      </c>
      <c r="D2105" t="str">
        <f>HYPERLINK("https://inventaire.cncp.gouv.fr/fiches/1298/","1298")</f>
        <v>1298</v>
      </c>
      <c r="E2105" t="str">
        <f>HYPERLINK("http://www.intercariforef.org/formations/certification-85568.html","85568")</f>
        <v>85568</v>
      </c>
      <c r="F2105" s="1">
        <v>42269</v>
      </c>
      <c r="G2105" s="1">
        <v>43111</v>
      </c>
    </row>
    <row r="2106">
      <c r="A2106" t="str">
        <v>Travail matériau, soudure</v>
      </c>
      <c r="B2106" t="str">
        <v>Soudeur International (IW)</v>
      </c>
      <c r="C2106" t="str">
        <v>Institut de soudure - Ecole d'adaptation aux professions du soudage (EAPS)</v>
      </c>
      <c r="D2106" t="str">
        <f>HYPERLINK("https://inventaire.cncp.gouv.fr/fiches/550/","550")</f>
        <v>550</v>
      </c>
      <c r="E2106" t="str">
        <f>HYPERLINK("http://www.intercariforef.org/formations/certification-84880.html","84880")</f>
        <v>84880</v>
      </c>
      <c r="F2106" s="1">
        <v>42177</v>
      </c>
      <c r="G2106" s="1">
        <v>42979</v>
      </c>
    </row>
    <row r="2107">
      <c r="A2107" t="str">
        <v>Travail matériau, soudure</v>
      </c>
      <c r="B2107" t="str">
        <v>Spécialiste International en soudage (IWS)</v>
      </c>
      <c r="C2107" t="str">
        <v>Institut de soudure - Ecole d'adaptation aux professions du soudage (EAPS)</v>
      </c>
      <c r="D2107" t="str">
        <f>HYPERLINK("https://inventaire.cncp.gouv.fr/fiches/548/","548")</f>
        <v>548</v>
      </c>
      <c r="E2107" t="str">
        <f>HYPERLINK("http://www.intercariforef.org/formations/certification-84603.html","84603")</f>
        <v>84603</v>
      </c>
      <c r="F2107" s="1">
        <v>42142</v>
      </c>
      <c r="G2107" s="1">
        <v>42142</v>
      </c>
    </row>
    <row r="2108">
      <c r="A2108" t="str">
        <v>Travail matériau, soudure</v>
      </c>
      <c r="B2108" t="str">
        <v>Technologue International en Soudage (IWT)</v>
      </c>
      <c r="C2108" t="str">
        <v>Institut de soudure - Ecole d'adaptation aux professions du soudage (EAPS)</v>
      </c>
      <c r="D2108" t="str">
        <f>HYPERLINK("https://inventaire.cncp.gouv.fr/fiches/547/","547")</f>
        <v>547</v>
      </c>
      <c r="E2108" t="str">
        <f>HYPERLINK("http://www.intercariforef.org/formations/certification-84601.html","84601")</f>
        <v>84601</v>
      </c>
      <c r="F2108" s="1">
        <v>42142</v>
      </c>
      <c r="G2108" s="1">
        <v>42142</v>
      </c>
    </row>
  </sheetData>
  <autoFilter ref="A8:G2108"/>
  <mergeCells count="3">
    <mergeCell ref="B5:D5"/>
    <mergeCell ref="E5:F5"/>
    <mergeCell ref="A6:C6"/>
  </mergeCells>
  <hyperlinks>
    <hyperlink ref="B7" r:id="rId1"/>
  </hyperlinks>
  <pageMargins left="0.5" right="0.5" top="0.5" bottom="0.7" header="0.3" footer="0.3"/>
  <ignoredErrors>
    <ignoredError numberStoredAsText="1" sqref="A1:G2108"/>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1</vt:i4>
      </vt:variant>
    </vt:vector>
  </HeadingPairs>
  <TitlesOfParts>
    <vt:vector size="1" baseType="lpstr">
      <vt:lpstr>Certifications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2018-11-05T08:50:14Z</dcterms:created>
  <dcterms:modified xsi:type="dcterms:W3CDTF">2018-11-08T09:35:55Z</dcterms:modified>
  <dc:title>Modèle de plan de stratégie webmarketing structuré pour définir objectifs, personas et leviers d'acquisition.</dc:title>
</cp:coreProperties>
</file>